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17" sheetId="5" r:id="rId5"/>
  </sheets>
  <definedNames/>
  <calcPr fullCalcOnLoad="1"/>
</workbook>
</file>

<file path=xl/sharedStrings.xml><?xml version="1.0" encoding="utf-8"?>
<sst xmlns="http://schemas.openxmlformats.org/spreadsheetml/2006/main" count="767" uniqueCount="196">
  <si>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</si>
  <si>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</si>
  <si>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</si>
  <si>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</si>
  <si>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</si>
  <si>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</si>
  <si>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</si>
  <si>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</si>
  <si>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</si>
  <si>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</si>
  <si>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</si>
  <si>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</si>
  <si>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</si>
  <si>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</si>
  <si>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</si>
  <si>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</si>
  <si>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</si>
  <si>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</si>
  <si>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</si>
  <si>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</si>
  <si>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</si>
  <si>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</si>
  <si>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</si>
  <si>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</si>
  <si>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</si>
  <si>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</si>
  <si>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</si>
  <si>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</si>
  <si>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</si>
  <si>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</si>
  <si>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</si>
  <si>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</si>
  <si>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</si>
  <si>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</si>
  <si>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</si>
  <si>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</si>
  <si>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</si>
  <si>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</si>
  <si>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</si>
  <si>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</si>
  <si>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</si>
  <si>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</si>
  <si>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</si>
  <si>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</si>
  <si>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</si>
  <si>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</si>
  <si>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</si>
  <si>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</si>
  <si>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</si>
  <si>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</si>
  <si>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</si>
  <si>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</si>
  <si>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</si>
  <si>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</si>
  <si>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</si>
  <si>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</si>
  <si>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</si>
  <si>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</si>
  <si>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</si>
  <si>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</si>
  <si>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</si>
  <si>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</si>
  <si>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</si>
  <si>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</si>
  <si>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</si>
  <si>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</si>
  <si>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</si>
  <si>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</si>
  <si>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</si>
  <si>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</si>
  <si>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</si>
  <si>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</si>
  <si>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</si>
  <si>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</si>
  <si>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</si>
  <si>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</si>
  <si>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</si>
  <si>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</si>
  <si>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</si>
  <si>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</si>
  <si>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</si>
  <si>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</si>
  <si>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</si>
  <si>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</si>
  <si>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</si>
  <si>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</si>
  <si>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</si>
  <si>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</si>
  <si>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</si>
  <si>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</si>
  <si>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</si>
  <si>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</si>
  <si>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</si>
  <si>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</si>
  <si>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</si>
  <si>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</si>
  <si>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</si>
  <si>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</si>
  <si>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</si>
  <si>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</si>
  <si>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</si>
  <si>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</si>
  <si>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</si>
  <si>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</si>
  <si>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</si>
  <si>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</si>
  <si>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</si>
  <si>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</si>
  <si>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</si>
  <si>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</si>
  <si>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</si>
  <si>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</si>
  <si>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</si>
  <si>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</si>
  <si>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</si>
  <si>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</si>
  <si>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</si>
  <si>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</si>
  <si>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</si>
  <si>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</si>
  <si>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</si>
  <si>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</si>
  <si>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</si>
  <si>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</si>
  <si>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</si>
  <si>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</si>
  <si>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</si>
  <si>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</si>
  <si>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</si>
  <si>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</si>
  <si>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</si>
  <si>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</si>
  <si>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</si>
  <si>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</si>
  <si>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</si>
  <si>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</si>
  <si>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</si>
  <si>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</si>
  <si>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</si>
  <si>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</si>
  <si>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</si>
  <si>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</si>
  <si>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</si>
  <si>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</si>
  <si>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</si>
  <si>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</si>
  <si>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</si>
  <si>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</si>
  <si>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</si>
  <si>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</si>
  <si>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</si>
  <si>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</si>
  <si>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</si>
  <si>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</si>
  <si>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</si>
  <si>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</si>
  <si>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</si>
  <si>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</si>
  <si>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</si>
  <si>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</si>
  <si>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</si>
  <si>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</si>
  <si>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</si>
  <si>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</si>
  <si>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</si>
  <si>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</si>
  <si>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</si>
  <si>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</si>
  <si>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</si>
  <si>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</si>
  <si>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</si>
  <si>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</si>
  <si>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</si>
  <si>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</si>
  <si>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</si>
  <si>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</si>
  <si>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</si>
  <si>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</si>
  <si>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</si>
  <si>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</si>
  <si>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</si>
  <si>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</si>
  <si>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</si>
  <si>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</si>
  <si>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</si>
  <si>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</si>
  <si>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</si>
  <si>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</si>
  <si>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</si>
  <si>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</si>
  <si>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</si>
  <si>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</si>
  <si>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</si>
  <si>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зарахавувалось і пальне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</si>
  <si>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12.05.2017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</si>
  <si>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11.05.17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</si>
</sst>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6" fillId="38" borderId="10" xfId="55" applyFont="1" applyFill="1" applyBorder="1" applyAlignment="1" applyProtection="1">
      <alignment wrapText="1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2" t="s">
        <v>194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5"/>
      <c r="S1" s="85"/>
      <c r="T1" s="85"/>
      <c r="U1" s="86"/>
    </row>
    <row r="2" spans="2:21" s="1" customFormat="1" ht="15.75" customHeight="1">
      <c r="B2" s="313"/>
      <c r="C2" s="313"/>
      <c r="D2" s="313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4"/>
      <c r="B3" s="316"/>
      <c r="C3" s="317" t="s">
        <v>0</v>
      </c>
      <c r="D3" s="318" t="s">
        <v>138</v>
      </c>
      <c r="E3" s="31"/>
      <c r="F3" s="319" t="s">
        <v>26</v>
      </c>
      <c r="G3" s="320"/>
      <c r="H3" s="320"/>
      <c r="I3" s="320"/>
      <c r="J3" s="321"/>
      <c r="K3" s="82"/>
      <c r="L3" s="82"/>
      <c r="M3" s="82"/>
      <c r="N3" s="322" t="s">
        <v>189</v>
      </c>
      <c r="O3" s="323" t="s">
        <v>190</v>
      </c>
      <c r="P3" s="323"/>
      <c r="Q3" s="323"/>
      <c r="R3" s="323"/>
      <c r="S3" s="323"/>
      <c r="T3" s="323"/>
      <c r="U3" s="323"/>
    </row>
    <row r="4" spans="1:21" ht="22.5" customHeight="1">
      <c r="A4" s="314"/>
      <c r="B4" s="316"/>
      <c r="C4" s="317"/>
      <c r="D4" s="318"/>
      <c r="E4" s="324" t="s">
        <v>186</v>
      </c>
      <c r="F4" s="306" t="s">
        <v>33</v>
      </c>
      <c r="G4" s="296" t="s">
        <v>187</v>
      </c>
      <c r="H4" s="308" t="s">
        <v>188</v>
      </c>
      <c r="I4" s="296" t="s">
        <v>125</v>
      </c>
      <c r="J4" s="308" t="s">
        <v>126</v>
      </c>
      <c r="K4" s="84" t="s">
        <v>128</v>
      </c>
      <c r="L4" s="202" t="s">
        <v>111</v>
      </c>
      <c r="M4" s="89" t="s">
        <v>63</v>
      </c>
      <c r="N4" s="308"/>
      <c r="O4" s="310" t="s">
        <v>195</v>
      </c>
      <c r="P4" s="296" t="s">
        <v>49</v>
      </c>
      <c r="Q4" s="298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5"/>
      <c r="B5" s="316"/>
      <c r="C5" s="317"/>
      <c r="D5" s="318"/>
      <c r="E5" s="325"/>
      <c r="F5" s="307"/>
      <c r="G5" s="297"/>
      <c r="H5" s="309"/>
      <c r="I5" s="297"/>
      <c r="J5" s="309"/>
      <c r="K5" s="299" t="s">
        <v>192</v>
      </c>
      <c r="L5" s="300"/>
      <c r="M5" s="301"/>
      <c r="N5" s="309"/>
      <c r="O5" s="311"/>
      <c r="P5" s="297"/>
      <c r="Q5" s="298"/>
      <c r="R5" s="302" t="s">
        <v>191</v>
      </c>
      <c r="S5" s="303"/>
      <c r="T5" s="304" t="s">
        <v>182</v>
      </c>
      <c r="U5" s="304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504703.6</v>
      </c>
      <c r="F8" s="149">
        <f>F9+F15+F18+F19+F23+F40</f>
        <v>426990.68</v>
      </c>
      <c r="G8" s="149">
        <f aca="true" t="shared" si="0" ref="G8:G40">F8-E8</f>
        <v>-77712.91999999998</v>
      </c>
      <c r="H8" s="150">
        <f>F8/E8*100</f>
        <v>84.60226556735478</v>
      </c>
      <c r="I8" s="151">
        <f>F8-D8</f>
        <v>-871460.4200000002</v>
      </c>
      <c r="J8" s="151">
        <f>F8/D8*100</f>
        <v>32.88461768024995</v>
      </c>
      <c r="K8" s="149">
        <v>374994.96</v>
      </c>
      <c r="L8" s="149">
        <f aca="true" t="shared" si="1" ref="L8:L54">F8-K8</f>
        <v>51995.71999999997</v>
      </c>
      <c r="M8" s="203">
        <f aca="true" t="shared" si="2" ref="M8:M31">F8/K8</f>
        <v>1.1386571168849842</v>
      </c>
      <c r="N8" s="149">
        <f>N9+N15+N18+N19+N23+N17</f>
        <v>106726.09999999998</v>
      </c>
      <c r="O8" s="149">
        <f>O9+O15+O18+O19+O23+O17</f>
        <v>26678.424000000003</v>
      </c>
      <c r="P8" s="149">
        <f>O8-N8</f>
        <v>-80047.67599999998</v>
      </c>
      <c r="Q8" s="149">
        <f>O8/N8*100</f>
        <v>24.997094431446488</v>
      </c>
      <c r="R8" s="15">
        <f>R9+R15+R18+R19+R23</f>
        <v>105040</v>
      </c>
      <c r="S8" s="15">
        <f>O8-R8</f>
        <v>-78361.576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238992.57</v>
      </c>
      <c r="G9" s="148">
        <f t="shared" si="0"/>
        <v>-39847.42999999999</v>
      </c>
      <c r="H9" s="155">
        <f>F9/E9*100</f>
        <v>85.70957179744657</v>
      </c>
      <c r="I9" s="156">
        <f>F9-D9</f>
        <v>-527652.4299999999</v>
      </c>
      <c r="J9" s="156">
        <f>F9/D9*100</f>
        <v>31.173824912443177</v>
      </c>
      <c r="K9" s="225">
        <v>199100.92</v>
      </c>
      <c r="L9" s="157">
        <f t="shared" si="1"/>
        <v>39891.649999999994</v>
      </c>
      <c r="M9" s="204">
        <f t="shared" si="2"/>
        <v>1.200358943595037</v>
      </c>
      <c r="N9" s="155">
        <f>E9-квітень!E9</f>
        <v>57980</v>
      </c>
      <c r="O9" s="158">
        <f>F9-квітень!F9</f>
        <v>15896.467999999993</v>
      </c>
      <c r="P9" s="159">
        <f>O9-N9</f>
        <v>-42083.53200000001</v>
      </c>
      <c r="Q9" s="156">
        <f>O9/N9*100</f>
        <v>27.417157640565705</v>
      </c>
      <c r="R9" s="99">
        <v>61380</v>
      </c>
      <c r="S9" s="99">
        <f>O9-R9</f>
        <v>-45483.53200000001</v>
      </c>
      <c r="T9" s="99">
        <f>березень!F9+квітень!R9</f>
        <v>223567.36</v>
      </c>
      <c r="U9" s="99">
        <f>F9-T9</f>
        <v>15425.210000000021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219669.22</v>
      </c>
      <c r="G10" s="102">
        <f t="shared" si="0"/>
        <v>-33490.78</v>
      </c>
      <c r="H10" s="29">
        <f aca="true" t="shared" si="3" ref="H10:H39">F10/E10*100</f>
        <v>86.77090377626797</v>
      </c>
      <c r="I10" s="103">
        <f aca="true" t="shared" si="4" ref="I10:I40">F10-D10</f>
        <v>-481647.78</v>
      </c>
      <c r="J10" s="103">
        <f aca="true" t="shared" si="5" ref="J10:J39">F10/D10*100</f>
        <v>31.32238631032757</v>
      </c>
      <c r="K10" s="105">
        <v>174168.33</v>
      </c>
      <c r="L10" s="105">
        <f t="shared" si="1"/>
        <v>45500.890000000014</v>
      </c>
      <c r="M10" s="205">
        <f t="shared" si="2"/>
        <v>1.261246634218747</v>
      </c>
      <c r="N10" s="104">
        <f>E10-квітень!E10</f>
        <v>53024</v>
      </c>
      <c r="O10" s="142">
        <f>F10-квітень!F10</f>
        <v>15303.360000000015</v>
      </c>
      <c r="P10" s="105">
        <f aca="true" t="shared" si="6" ref="P10:P40">O10-N10</f>
        <v>-37720.639999999985</v>
      </c>
      <c r="Q10" s="103">
        <f aca="true" t="shared" si="7" ref="Q10:Q27">O10/N10*100</f>
        <v>28.861194930597495</v>
      </c>
      <c r="R10" s="36"/>
      <c r="S10" s="99">
        <f aca="true" t="shared" si="8" ref="S10:S35">O10-R10</f>
        <v>15303.360000000015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12515.6</v>
      </c>
      <c r="G11" s="102">
        <f t="shared" si="0"/>
        <v>-5844.4</v>
      </c>
      <c r="H11" s="29">
        <f t="shared" si="3"/>
        <v>68.1677559912854</v>
      </c>
      <c r="I11" s="103">
        <f t="shared" si="4"/>
        <v>-33990.4</v>
      </c>
      <c r="J11" s="103">
        <f t="shared" si="5"/>
        <v>26.91179632735561</v>
      </c>
      <c r="K11" s="105">
        <v>14679.25</v>
      </c>
      <c r="L11" s="105">
        <f t="shared" si="1"/>
        <v>-2163.6499999999996</v>
      </c>
      <c r="M11" s="205">
        <f t="shared" si="2"/>
        <v>0.8526048674148884</v>
      </c>
      <c r="N11" s="104">
        <f>E11-квітень!E11</f>
        <v>3660</v>
      </c>
      <c r="O11" s="142">
        <f>F11-квітень!F11</f>
        <v>86.45000000000073</v>
      </c>
      <c r="P11" s="105">
        <f t="shared" si="6"/>
        <v>-3573.5499999999993</v>
      </c>
      <c r="Q11" s="103">
        <f t="shared" si="7"/>
        <v>2.362021857923517</v>
      </c>
      <c r="R11" s="36"/>
      <c r="S11" s="99">
        <f t="shared" si="8"/>
        <v>86.45000000000073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2778.17</v>
      </c>
      <c r="G12" s="102">
        <f t="shared" si="0"/>
        <v>-161.82999999999993</v>
      </c>
      <c r="H12" s="29">
        <f t="shared" si="3"/>
        <v>94.49557823129253</v>
      </c>
      <c r="I12" s="103">
        <f t="shared" si="4"/>
        <v>-5501.83</v>
      </c>
      <c r="J12" s="103">
        <f t="shared" si="5"/>
        <v>33.552777777777784</v>
      </c>
      <c r="K12" s="105">
        <v>4583.23</v>
      </c>
      <c r="L12" s="105">
        <f t="shared" si="1"/>
        <v>-1805.0599999999995</v>
      </c>
      <c r="M12" s="205">
        <f t="shared" si="2"/>
        <v>0.6061598479674816</v>
      </c>
      <c r="N12" s="104">
        <f>E12-квітень!E12</f>
        <v>600</v>
      </c>
      <c r="O12" s="142">
        <f>F12-квітень!F12</f>
        <v>168.57999999999993</v>
      </c>
      <c r="P12" s="105">
        <f t="shared" si="6"/>
        <v>-431.4200000000001</v>
      </c>
      <c r="Q12" s="103">
        <f t="shared" si="7"/>
        <v>28.096666666666653</v>
      </c>
      <c r="R12" s="36"/>
      <c r="S12" s="99">
        <f t="shared" si="8"/>
        <v>168.57999999999993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3511.61</v>
      </c>
      <c r="G13" s="102">
        <f t="shared" si="0"/>
        <v>-388.3899999999999</v>
      </c>
      <c r="H13" s="29">
        <f t="shared" si="3"/>
        <v>90.04128205128205</v>
      </c>
      <c r="I13" s="103">
        <f t="shared" si="4"/>
        <v>-5878.389999999999</v>
      </c>
      <c r="J13" s="103">
        <f t="shared" si="5"/>
        <v>37.39733759318424</v>
      </c>
      <c r="K13" s="105">
        <v>3763.44</v>
      </c>
      <c r="L13" s="105">
        <f t="shared" si="1"/>
        <v>-251.82999999999993</v>
      </c>
      <c r="M13" s="205">
        <f t="shared" si="2"/>
        <v>0.93308515613375</v>
      </c>
      <c r="N13" s="104">
        <f>E13-квітень!E13</f>
        <v>600</v>
      </c>
      <c r="O13" s="142">
        <f>F13-квітень!F13</f>
        <v>302.2800000000002</v>
      </c>
      <c r="P13" s="105">
        <f t="shared" si="6"/>
        <v>-297.7199999999998</v>
      </c>
      <c r="Q13" s="103">
        <f t="shared" si="7"/>
        <v>50.38000000000004</v>
      </c>
      <c r="R13" s="36"/>
      <c r="S13" s="99">
        <f t="shared" si="8"/>
        <v>302.2800000000002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517.97</v>
      </c>
      <c r="G14" s="102">
        <f t="shared" si="0"/>
        <v>37.97000000000003</v>
      </c>
      <c r="H14" s="29">
        <f t="shared" si="3"/>
        <v>107.91041666666668</v>
      </c>
      <c r="I14" s="103">
        <f t="shared" si="4"/>
        <v>-634.03</v>
      </c>
      <c r="J14" s="103">
        <f t="shared" si="5"/>
        <v>44.962673611111114</v>
      </c>
      <c r="K14" s="105">
        <v>1906.68</v>
      </c>
      <c r="L14" s="105">
        <f t="shared" si="1"/>
        <v>-1388.71</v>
      </c>
      <c r="M14" s="205">
        <f t="shared" si="2"/>
        <v>0.2716606876874987</v>
      </c>
      <c r="N14" s="104">
        <f>E14-квітень!E14</f>
        <v>96</v>
      </c>
      <c r="O14" s="142">
        <f>F14-квітень!F14</f>
        <v>35.80000000000001</v>
      </c>
      <c r="P14" s="105">
        <f t="shared" si="6"/>
        <v>-60.19999999999999</v>
      </c>
      <c r="Q14" s="103">
        <f t="shared" si="7"/>
        <v>37.29166666666668</v>
      </c>
      <c r="R14" s="36"/>
      <c r="S14" s="99">
        <f t="shared" si="8"/>
        <v>35.80000000000001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-226.91</v>
      </c>
      <c r="G15" s="148">
        <f t="shared" si="0"/>
        <v>-567.91</v>
      </c>
      <c r="H15" s="155">
        <f>F15/E15*100</f>
        <v>-66.5425219941349</v>
      </c>
      <c r="I15" s="156">
        <f t="shared" si="4"/>
        <v>-777.91</v>
      </c>
      <c r="J15" s="156">
        <f>F15/D15*100</f>
        <v>-41.18148820326679</v>
      </c>
      <c r="K15" s="159">
        <v>309.24</v>
      </c>
      <c r="L15" s="159">
        <f t="shared" si="1"/>
        <v>-536.15</v>
      </c>
      <c r="M15" s="206">
        <f t="shared" si="2"/>
        <v>-0.7337666537317293</v>
      </c>
      <c r="N15" s="162">
        <f>E15-квітень!E15</f>
        <v>170</v>
      </c>
      <c r="O15" s="166">
        <f>F15-квітень!F15</f>
        <v>89.45000000000002</v>
      </c>
      <c r="P15" s="159">
        <f t="shared" si="6"/>
        <v>-80.54999999999998</v>
      </c>
      <c r="Q15" s="156"/>
      <c r="R15" s="36">
        <v>46</v>
      </c>
      <c r="S15" s="99">
        <f t="shared" si="8"/>
        <v>43.45000000000002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E17-квітень!E17</f>
        <v>0</v>
      </c>
      <c r="O17" s="166">
        <f>F17-квітень!F17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160</v>
      </c>
      <c r="C19" s="42"/>
      <c r="D19" s="148">
        <f>D20+D21+D22</f>
        <v>130000</v>
      </c>
      <c r="E19" s="148">
        <v>48400</v>
      </c>
      <c r="F19" s="154">
        <v>37464.51</v>
      </c>
      <c r="G19" s="160">
        <f t="shared" si="0"/>
        <v>-10935.489999999998</v>
      </c>
      <c r="H19" s="162">
        <f t="shared" si="3"/>
        <v>77.40601239669422</v>
      </c>
      <c r="I19" s="163">
        <f t="shared" si="4"/>
        <v>-92535.48999999999</v>
      </c>
      <c r="J19" s="163">
        <f t="shared" si="5"/>
        <v>28.818853846153846</v>
      </c>
      <c r="K19" s="159">
        <v>35230.56</v>
      </c>
      <c r="L19" s="165">
        <f t="shared" si="1"/>
        <v>2233.9500000000044</v>
      </c>
      <c r="M19" s="211">
        <f t="shared" si="2"/>
        <v>1.0634094377154382</v>
      </c>
      <c r="N19" s="162">
        <f>E19-квітень!E19</f>
        <v>10500</v>
      </c>
      <c r="O19" s="166">
        <f>F19-квітень!F19</f>
        <v>1359.7459999999992</v>
      </c>
      <c r="P19" s="165">
        <f t="shared" si="6"/>
        <v>-9140.254</v>
      </c>
      <c r="Q19" s="163">
        <f t="shared" si="7"/>
        <v>12.949961904761897</v>
      </c>
      <c r="R19" s="36">
        <v>8000</v>
      </c>
      <c r="S19" s="99">
        <f t="shared" si="8"/>
        <v>-6640.254000000001</v>
      </c>
      <c r="T19" s="36"/>
      <c r="U19" s="93"/>
    </row>
    <row r="20" spans="1:21" s="6" customFormat="1" ht="61.5">
      <c r="A20" s="8"/>
      <c r="B20" s="250" t="s">
        <v>193</v>
      </c>
      <c r="C20" s="122">
        <v>14040000</v>
      </c>
      <c r="D20" s="251">
        <v>76500</v>
      </c>
      <c r="E20" s="251">
        <v>29650</v>
      </c>
      <c r="F20" s="199">
        <v>22060.87</v>
      </c>
      <c r="G20" s="251">
        <f t="shared" si="0"/>
        <v>-7589.130000000001</v>
      </c>
      <c r="H20" s="193">
        <f t="shared" si="3"/>
        <v>74.40428330522765</v>
      </c>
      <c r="I20" s="252">
        <f t="shared" si="4"/>
        <v>-54439.130000000005</v>
      </c>
      <c r="J20" s="252">
        <f t="shared" si="5"/>
        <v>28.837738562091502</v>
      </c>
      <c r="K20" s="253">
        <v>35230.56</v>
      </c>
      <c r="L20" s="164">
        <f t="shared" si="1"/>
        <v>-13169.689999999999</v>
      </c>
      <c r="M20" s="254">
        <f t="shared" si="2"/>
        <v>0.6261856183949389</v>
      </c>
      <c r="N20" s="193">
        <f>E20-квітень!E20</f>
        <v>5750</v>
      </c>
      <c r="O20" s="177">
        <f>F20-квітень!F20</f>
        <v>81.28999999999724</v>
      </c>
      <c r="P20" s="164">
        <f t="shared" si="6"/>
        <v>-5668.710000000003</v>
      </c>
      <c r="Q20" s="252">
        <f t="shared" si="7"/>
        <v>1.4137391304347344</v>
      </c>
      <c r="R20" s="106">
        <v>4300</v>
      </c>
      <c r="S20" s="99">
        <f t="shared" si="8"/>
        <v>-4218.710000000003</v>
      </c>
      <c r="T20" s="106"/>
      <c r="U20" s="107"/>
    </row>
    <row r="21" spans="1:21" s="6" customFormat="1" ht="18">
      <c r="A21" s="8"/>
      <c r="B21" s="250" t="s">
        <v>158</v>
      </c>
      <c r="C21" s="122">
        <v>14021900</v>
      </c>
      <c r="D21" s="251">
        <v>10700</v>
      </c>
      <c r="E21" s="251">
        <v>3950</v>
      </c>
      <c r="F21" s="199">
        <v>3177.19</v>
      </c>
      <c r="G21" s="251">
        <f t="shared" si="0"/>
        <v>-772.81</v>
      </c>
      <c r="H21" s="193"/>
      <c r="I21" s="252">
        <f t="shared" si="4"/>
        <v>-7522.8099999999995</v>
      </c>
      <c r="J21" s="252">
        <f t="shared" si="5"/>
        <v>29.69336448598131</v>
      </c>
      <c r="K21" s="253">
        <v>0</v>
      </c>
      <c r="L21" s="164">
        <f t="shared" si="1"/>
        <v>3177.19</v>
      </c>
      <c r="M21" s="254"/>
      <c r="N21" s="193">
        <f>E21-квітень!E21</f>
        <v>950</v>
      </c>
      <c r="O21" s="177">
        <f>F21-квітень!F21</f>
        <v>58.25</v>
      </c>
      <c r="P21" s="164">
        <f t="shared" si="6"/>
        <v>-891.75</v>
      </c>
      <c r="Q21" s="252"/>
      <c r="R21" s="106">
        <v>700</v>
      </c>
      <c r="S21" s="99">
        <f t="shared" si="8"/>
        <v>-641.75</v>
      </c>
      <c r="T21" s="106"/>
      <c r="U21" s="107"/>
    </row>
    <row r="22" spans="1:21" s="6" customFormat="1" ht="18">
      <c r="A22" s="8"/>
      <c r="B22" s="250" t="s">
        <v>159</v>
      </c>
      <c r="C22" s="122">
        <v>14031900</v>
      </c>
      <c r="D22" s="251">
        <v>42800</v>
      </c>
      <c r="E22" s="251">
        <v>14800</v>
      </c>
      <c r="F22" s="199">
        <v>12226.44</v>
      </c>
      <c r="G22" s="251">
        <f t="shared" si="0"/>
        <v>-2573.5599999999995</v>
      </c>
      <c r="H22" s="193"/>
      <c r="I22" s="252">
        <f t="shared" si="4"/>
        <v>-30573.559999999998</v>
      </c>
      <c r="J22" s="252">
        <f t="shared" si="5"/>
        <v>28.566448598130844</v>
      </c>
      <c r="K22" s="253">
        <v>0</v>
      </c>
      <c r="L22" s="164">
        <f t="shared" si="1"/>
        <v>12226.44</v>
      </c>
      <c r="M22" s="254"/>
      <c r="N22" s="193">
        <f>E22-квітень!E22</f>
        <v>3800</v>
      </c>
      <c r="O22" s="177">
        <f>F22-квітень!F22</f>
        <v>1220.2000000000007</v>
      </c>
      <c r="P22" s="164">
        <f t="shared" si="6"/>
        <v>-2579.7999999999993</v>
      </c>
      <c r="Q22" s="252"/>
      <c r="R22" s="106">
        <v>3000</v>
      </c>
      <c r="S22" s="99">
        <f t="shared" si="8"/>
        <v>-1779.7999999999993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150642.05</v>
      </c>
      <c r="G23" s="148">
        <f t="shared" si="0"/>
        <v>-26410.54999999999</v>
      </c>
      <c r="H23" s="155">
        <f t="shared" si="3"/>
        <v>85.08321820747055</v>
      </c>
      <c r="I23" s="156">
        <f t="shared" si="4"/>
        <v>-250488.05</v>
      </c>
      <c r="J23" s="156">
        <f t="shared" si="5"/>
        <v>37.554411897785776</v>
      </c>
      <c r="K23" s="156">
        <v>140248.27</v>
      </c>
      <c r="L23" s="159">
        <f t="shared" si="1"/>
        <v>10393.779999999999</v>
      </c>
      <c r="M23" s="207">
        <f t="shared" si="2"/>
        <v>1.0741098624603356</v>
      </c>
      <c r="N23" s="155">
        <f>E23-квітень!E23</f>
        <v>38076.09999999998</v>
      </c>
      <c r="O23" s="158">
        <f>F23-квітень!F23</f>
        <v>9332.76000000001</v>
      </c>
      <c r="P23" s="159">
        <f t="shared" si="6"/>
        <v>-28743.339999999967</v>
      </c>
      <c r="Q23" s="156">
        <f t="shared" si="7"/>
        <v>24.510808617479245</v>
      </c>
      <c r="R23" s="281">
        <f>R24+R32+R33+R34+R35</f>
        <v>35614</v>
      </c>
      <c r="S23" s="99">
        <f t="shared" si="8"/>
        <v>-26281.23999999999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68916.3</v>
      </c>
      <c r="G24" s="148">
        <f t="shared" si="0"/>
        <v>-13791.599999999991</v>
      </c>
      <c r="H24" s="155">
        <f t="shared" si="3"/>
        <v>83.32493026663718</v>
      </c>
      <c r="I24" s="156">
        <f t="shared" si="4"/>
        <v>-137704.7</v>
      </c>
      <c r="J24" s="156">
        <f t="shared" si="5"/>
        <v>33.353966924949546</v>
      </c>
      <c r="K24" s="156">
        <v>71540.14</v>
      </c>
      <c r="L24" s="159">
        <f t="shared" si="1"/>
        <v>-2623.8399999999965</v>
      </c>
      <c r="M24" s="207">
        <f t="shared" si="2"/>
        <v>0.9633235271834806</v>
      </c>
      <c r="N24" s="155">
        <f>E24-квітень!E24</f>
        <v>15364.099999999991</v>
      </c>
      <c r="O24" s="158">
        <f>F24-квітень!F24</f>
        <v>1239.3099999999977</v>
      </c>
      <c r="P24" s="159">
        <f t="shared" si="6"/>
        <v>-14124.789999999994</v>
      </c>
      <c r="Q24" s="156">
        <f t="shared" si="7"/>
        <v>8.066271372875718</v>
      </c>
      <c r="R24" s="106">
        <f>R25+R28+R29</f>
        <v>18772</v>
      </c>
      <c r="S24" s="99">
        <f t="shared" si="8"/>
        <v>-17532.690000000002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9826.76</v>
      </c>
      <c r="G25" s="169">
        <f t="shared" si="0"/>
        <v>242.65999999999985</v>
      </c>
      <c r="H25" s="171">
        <f t="shared" si="3"/>
        <v>102.53190179568243</v>
      </c>
      <c r="I25" s="172">
        <f t="shared" si="4"/>
        <v>-12982.24</v>
      </c>
      <c r="J25" s="172">
        <f t="shared" si="5"/>
        <v>43.08281818580385</v>
      </c>
      <c r="K25" s="173">
        <v>8640.15</v>
      </c>
      <c r="L25" s="164">
        <f t="shared" si="1"/>
        <v>1186.6100000000006</v>
      </c>
      <c r="M25" s="213">
        <f t="shared" si="2"/>
        <v>1.1373367360520361</v>
      </c>
      <c r="N25" s="155">
        <f>E25-квітень!E25</f>
        <v>254.10000000000036</v>
      </c>
      <c r="O25" s="158">
        <f>F25-квітень!F25</f>
        <v>80.45000000000073</v>
      </c>
      <c r="P25" s="175">
        <f t="shared" si="6"/>
        <v>-173.64999999999964</v>
      </c>
      <c r="Q25" s="172">
        <f t="shared" si="7"/>
        <v>31.660763478945537</v>
      </c>
      <c r="R25" s="106">
        <v>3710</v>
      </c>
      <c r="S25" s="99">
        <f t="shared" si="8"/>
        <v>-3629.5499999999993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202.34</v>
      </c>
      <c r="G26" s="196">
        <f t="shared" si="0"/>
        <v>-402.65999999999997</v>
      </c>
      <c r="H26" s="197">
        <f t="shared" si="3"/>
        <v>33.444628099173556</v>
      </c>
      <c r="I26" s="198">
        <f t="shared" si="4"/>
        <v>-1619.96</v>
      </c>
      <c r="J26" s="198">
        <f t="shared" si="5"/>
        <v>11.10355045821215</v>
      </c>
      <c r="K26" s="198">
        <v>263.65</v>
      </c>
      <c r="L26" s="198">
        <f t="shared" si="1"/>
        <v>-61.309999999999974</v>
      </c>
      <c r="M26" s="226">
        <f t="shared" si="2"/>
        <v>0.7674568556798788</v>
      </c>
      <c r="N26" s="234">
        <f>E26-квітень!E26</f>
        <v>55</v>
      </c>
      <c r="O26" s="234">
        <f>F26-квітень!F26</f>
        <v>2.0999999999999943</v>
      </c>
      <c r="P26" s="198">
        <f t="shared" si="6"/>
        <v>-52.900000000000006</v>
      </c>
      <c r="Q26" s="198">
        <f t="shared" si="7"/>
        <v>3.818181818181808</v>
      </c>
      <c r="R26" s="106"/>
      <c r="S26" s="99">
        <f t="shared" si="8"/>
        <v>2.0999999999999943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9624.42</v>
      </c>
      <c r="G27" s="196">
        <f t="shared" si="0"/>
        <v>645.3199999999997</v>
      </c>
      <c r="H27" s="197">
        <f t="shared" si="3"/>
        <v>107.1869118285797</v>
      </c>
      <c r="I27" s="198">
        <f t="shared" si="4"/>
        <v>-11362.28</v>
      </c>
      <c r="J27" s="198">
        <f t="shared" si="5"/>
        <v>45.859615851944326</v>
      </c>
      <c r="K27" s="198">
        <v>8376.5</v>
      </c>
      <c r="L27" s="198">
        <f t="shared" si="1"/>
        <v>1247.92</v>
      </c>
      <c r="M27" s="226">
        <f t="shared" si="2"/>
        <v>1.148978690383812</v>
      </c>
      <c r="N27" s="234">
        <f>E27-квітень!E27</f>
        <v>199.10000000000036</v>
      </c>
      <c r="O27" s="234">
        <f>F27-квітень!F27</f>
        <v>78.35000000000036</v>
      </c>
      <c r="P27" s="198">
        <f t="shared" si="6"/>
        <v>-120.75</v>
      </c>
      <c r="Q27" s="198">
        <f t="shared" si="7"/>
        <v>39.3520843797088</v>
      </c>
      <c r="R27" s="106"/>
      <c r="S27" s="99">
        <f t="shared" si="8"/>
        <v>78.35000000000036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54.52</v>
      </c>
      <c r="G28" s="169">
        <f t="shared" si="0"/>
        <v>-74.28</v>
      </c>
      <c r="H28" s="171">
        <f t="shared" si="3"/>
        <v>42.32919254658385</v>
      </c>
      <c r="I28" s="172">
        <f t="shared" si="4"/>
        <v>-765.48</v>
      </c>
      <c r="J28" s="172">
        <f t="shared" si="5"/>
        <v>6.648780487804879</v>
      </c>
      <c r="K28" s="172">
        <v>420.08</v>
      </c>
      <c r="L28" s="172">
        <f t="shared" si="1"/>
        <v>-365.56</v>
      </c>
      <c r="M28" s="210">
        <f t="shared" si="2"/>
        <v>0.12978480289468675</v>
      </c>
      <c r="N28" s="193">
        <f>E28-квітень!E28</f>
        <v>5.000000000000014</v>
      </c>
      <c r="O28" s="177">
        <f>F28-квітень!F28</f>
        <v>-49.99999999999999</v>
      </c>
      <c r="P28" s="175">
        <f t="shared" si="6"/>
        <v>-55.00000000000001</v>
      </c>
      <c r="Q28" s="172">
        <f>O28/N28*100</f>
        <v>-999.9999999999969</v>
      </c>
      <c r="R28" s="106">
        <v>7</v>
      </c>
      <c r="S28" s="99">
        <f t="shared" si="8"/>
        <v>-56.99999999999999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59035.02</v>
      </c>
      <c r="G29" s="169">
        <f t="shared" si="0"/>
        <v>-13959.980000000003</v>
      </c>
      <c r="H29" s="171">
        <f t="shared" si="3"/>
        <v>80.87542982396054</v>
      </c>
      <c r="I29" s="172">
        <f t="shared" si="4"/>
        <v>-123956.98000000001</v>
      </c>
      <c r="J29" s="172">
        <f t="shared" si="5"/>
        <v>32.26098408673603</v>
      </c>
      <c r="K29" s="173">
        <v>62479.91</v>
      </c>
      <c r="L29" s="173">
        <f t="shared" si="1"/>
        <v>-3444.8900000000067</v>
      </c>
      <c r="M29" s="209">
        <f t="shared" si="2"/>
        <v>0.944864037096084</v>
      </c>
      <c r="N29" s="193">
        <f>E29-квітень!E29</f>
        <v>15105</v>
      </c>
      <c r="O29" s="177">
        <f>F29-квітень!F29</f>
        <v>1208.8599999999933</v>
      </c>
      <c r="P29" s="175">
        <f t="shared" si="6"/>
        <v>-13896.140000000007</v>
      </c>
      <c r="Q29" s="172">
        <f>O29/N29*100</f>
        <v>8.003045349222068</v>
      </c>
      <c r="R29" s="106">
        <v>15055</v>
      </c>
      <c r="S29" s="99">
        <f t="shared" si="8"/>
        <v>-13846.140000000007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19579.42</v>
      </c>
      <c r="G30" s="196">
        <f t="shared" si="0"/>
        <v>-2500.5800000000017</v>
      </c>
      <c r="H30" s="197">
        <f t="shared" si="3"/>
        <v>88.67490942028985</v>
      </c>
      <c r="I30" s="198">
        <f t="shared" si="4"/>
        <v>-37953.58</v>
      </c>
      <c r="J30" s="198">
        <f t="shared" si="5"/>
        <v>34.031634018737066</v>
      </c>
      <c r="K30" s="198">
        <v>19348.56</v>
      </c>
      <c r="L30" s="198">
        <f t="shared" si="1"/>
        <v>230.85999999999694</v>
      </c>
      <c r="M30" s="226">
        <f t="shared" si="2"/>
        <v>1.0119316372898033</v>
      </c>
      <c r="N30" s="234">
        <f>E30-квітень!E30</f>
        <v>4650</v>
      </c>
      <c r="O30" s="234">
        <f>F30-квітень!F30</f>
        <v>274.8899999999994</v>
      </c>
      <c r="P30" s="198">
        <f t="shared" si="6"/>
        <v>-4375.110000000001</v>
      </c>
      <c r="Q30" s="198">
        <f>O30/N30*100</f>
        <v>5.9116129032257945</v>
      </c>
      <c r="R30" s="106"/>
      <c r="S30" s="99">
        <f t="shared" si="8"/>
        <v>274.8899999999994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39455.59</v>
      </c>
      <c r="G31" s="196">
        <f t="shared" si="0"/>
        <v>-11459.410000000003</v>
      </c>
      <c r="H31" s="197">
        <f t="shared" si="3"/>
        <v>77.49305705587743</v>
      </c>
      <c r="I31" s="198">
        <f t="shared" si="4"/>
        <v>-86003.41</v>
      </c>
      <c r="J31" s="198">
        <f t="shared" si="5"/>
        <v>31.44899130393196</v>
      </c>
      <c r="K31" s="198">
        <v>43131.35</v>
      </c>
      <c r="L31" s="198">
        <f t="shared" si="1"/>
        <v>-3675.760000000002</v>
      </c>
      <c r="M31" s="226">
        <f t="shared" si="2"/>
        <v>0.9147775342065574</v>
      </c>
      <c r="N31" s="234">
        <f>E31-квітень!E31</f>
        <v>10455</v>
      </c>
      <c r="O31" s="234">
        <f>F31-квітень!F31</f>
        <v>933.9599999999991</v>
      </c>
      <c r="P31" s="198">
        <f t="shared" si="6"/>
        <v>-9521.04</v>
      </c>
      <c r="Q31" s="198">
        <f>O31/N31*100</f>
        <v>8.933142037302717</v>
      </c>
      <c r="R31" s="106"/>
      <c r="S31" s="99">
        <f t="shared" si="8"/>
        <v>933.9599999999991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52.41</v>
      </c>
      <c r="G33" s="148">
        <f t="shared" si="0"/>
        <v>13.409999999999997</v>
      </c>
      <c r="H33" s="155">
        <f t="shared" si="3"/>
        <v>134.38461538461536</v>
      </c>
      <c r="I33" s="156">
        <f t="shared" si="4"/>
        <v>-62.59</v>
      </c>
      <c r="J33" s="156">
        <f t="shared" si="5"/>
        <v>45.57391304347826</v>
      </c>
      <c r="K33" s="156">
        <v>51.14</v>
      </c>
      <c r="L33" s="156">
        <f t="shared" si="1"/>
        <v>1.269999999999996</v>
      </c>
      <c r="M33" s="208">
        <f>F33/K33</f>
        <v>1.0248337895971842</v>
      </c>
      <c r="N33" s="155">
        <f>E33-квітень!E33</f>
        <v>12</v>
      </c>
      <c r="O33" s="158">
        <f>F33-квітень!F33</f>
        <v>0</v>
      </c>
      <c r="P33" s="159">
        <f t="shared" si="6"/>
        <v>-12</v>
      </c>
      <c r="Q33" s="156">
        <f>O33/N33*100</f>
        <v>0</v>
      </c>
      <c r="R33" s="106">
        <v>15</v>
      </c>
      <c r="S33" s="99">
        <f t="shared" si="8"/>
        <v>-15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81699.91</v>
      </c>
      <c r="G35" s="160">
        <f t="shared" si="0"/>
        <v>-12605.789999999994</v>
      </c>
      <c r="H35" s="162">
        <f t="shared" si="3"/>
        <v>86.6330561143176</v>
      </c>
      <c r="I35" s="163">
        <f t="shared" si="4"/>
        <v>-112694.19</v>
      </c>
      <c r="J35" s="163">
        <f t="shared" si="5"/>
        <v>42.027978215388224</v>
      </c>
      <c r="K35" s="176">
        <v>68766.7</v>
      </c>
      <c r="L35" s="176">
        <f>F35-K35</f>
        <v>12933.210000000006</v>
      </c>
      <c r="M35" s="224">
        <f>F35/K35</f>
        <v>1.1880737333622233</v>
      </c>
      <c r="N35" s="155">
        <f>E35-квітень!E35</f>
        <v>22700</v>
      </c>
      <c r="O35" s="158">
        <f>F35-квітень!F35</f>
        <v>8092.87000000001</v>
      </c>
      <c r="P35" s="165">
        <f t="shared" si="6"/>
        <v>-14607.12999999999</v>
      </c>
      <c r="Q35" s="163">
        <f>O35/N35*100</f>
        <v>35.65140969163</v>
      </c>
      <c r="R35" s="106">
        <v>16827</v>
      </c>
      <c r="S35" s="99">
        <f t="shared" si="8"/>
        <v>-8734.12999999999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E36-квітень!E36</f>
        <v>0</v>
      </c>
      <c r="O36" s="142">
        <f>F36-квітень!F36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15774.67</v>
      </c>
      <c r="G37" s="102">
        <f t="shared" si="0"/>
        <v>-3145.33</v>
      </c>
      <c r="H37" s="104">
        <f t="shared" si="3"/>
        <v>83.37563424947146</v>
      </c>
      <c r="I37" s="103">
        <f t="shared" si="4"/>
        <v>-25225.33</v>
      </c>
      <c r="J37" s="103">
        <f t="shared" si="5"/>
        <v>38.47480487804878</v>
      </c>
      <c r="K37" s="126">
        <v>17552.06</v>
      </c>
      <c r="L37" s="126">
        <f t="shared" si="1"/>
        <v>-1777.3900000000012</v>
      </c>
      <c r="M37" s="214">
        <f t="shared" si="9"/>
        <v>0.8987361027708428</v>
      </c>
      <c r="N37" s="104">
        <f>E37-квітень!E37</f>
        <v>5700</v>
      </c>
      <c r="O37" s="142">
        <f>F37-квітень!F37</f>
        <v>1776.25</v>
      </c>
      <c r="P37" s="105">
        <f t="shared" si="6"/>
        <v>-3923.75</v>
      </c>
      <c r="Q37" s="103">
        <f>O37/N37*100</f>
        <v>31.162280701754387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65902.15</v>
      </c>
      <c r="G38" s="102">
        <f t="shared" si="0"/>
        <v>-9457.850000000006</v>
      </c>
      <c r="H38" s="104">
        <f t="shared" si="3"/>
        <v>87.44977441613587</v>
      </c>
      <c r="I38" s="103">
        <f t="shared" si="4"/>
        <v>-87436.95000000001</v>
      </c>
      <c r="J38" s="103">
        <f t="shared" si="5"/>
        <v>42.97804669520037</v>
      </c>
      <c r="K38" s="126">
        <v>51200.46</v>
      </c>
      <c r="L38" s="126">
        <f t="shared" si="1"/>
        <v>14701.689999999995</v>
      </c>
      <c r="M38" s="214">
        <f t="shared" si="9"/>
        <v>1.2871398030408319</v>
      </c>
      <c r="N38" s="104">
        <f>E38-квітень!E38</f>
        <v>17000</v>
      </c>
      <c r="O38" s="142">
        <f>F38-квітень!F38</f>
        <v>6316.629999999997</v>
      </c>
      <c r="P38" s="105">
        <f t="shared" si="6"/>
        <v>-10683.370000000003</v>
      </c>
      <c r="Q38" s="103">
        <f>O38/N38*100</f>
        <v>37.156647058823516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/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5">
        <f>F42+F43+F44+F45+F46+F48+F50+F51+F52+F53+F54+F59+F60+F64+F47</f>
        <v>23542.170000000002</v>
      </c>
      <c r="G41" s="149">
        <f>G42+G43+G44+G45+G46+G48+G50+G51+G52+G53+G54+G59+G60+G64</f>
        <v>-1215.34</v>
      </c>
      <c r="H41" s="150">
        <f>F41/E41*100</f>
        <v>94.93844087864406</v>
      </c>
      <c r="I41" s="151">
        <f>F41-D41</f>
        <v>-35482.83</v>
      </c>
      <c r="J41" s="151">
        <f>F41/D41*100</f>
        <v>39.88508259212198</v>
      </c>
      <c r="K41" s="149">
        <v>22840.42</v>
      </c>
      <c r="L41" s="149">
        <f t="shared" si="1"/>
        <v>701.7500000000036</v>
      </c>
      <c r="M41" s="203">
        <f t="shared" si="9"/>
        <v>1.0307240409764795</v>
      </c>
      <c r="N41" s="149">
        <f>N42+N43+N44+N45+N46+N48+N50+N51+N52+N53+N54+N59+N60+N64+N47</f>
        <v>5362.8</v>
      </c>
      <c r="O41" s="149">
        <f>O42+O43+O44+O45+O46+O48+O50+O51+O52+O53+O54+O59+O60+O64+O47</f>
        <v>4104.2739999999985</v>
      </c>
      <c r="P41" s="149">
        <f>P42+P43+P44+P45+P46+P48+P50+P51+P52+P53+P54+P59+P60+P64</f>
        <v>-1251.7260000000006</v>
      </c>
      <c r="Q41" s="149">
        <f>O41/N41*100</f>
        <v>76.53229656149769</v>
      </c>
      <c r="R41" s="15">
        <f>R42+R43+R44+R45+R46+R47+R48+R50+R51+R52+R53+R54+R59+R60+R64</f>
        <v>5581.6</v>
      </c>
      <c r="S41" s="15">
        <f>O41-R41</f>
        <v>-1477.3260000000018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21.81</v>
      </c>
      <c r="G42" s="160">
        <f>F42-E42</f>
        <v>-238.19</v>
      </c>
      <c r="H42" s="162">
        <f aca="true" t="shared" si="10" ref="H42:H65">F42/E42*100</f>
        <v>8.388461538461538</v>
      </c>
      <c r="I42" s="163">
        <f>F42-D42</f>
        <v>-558.19</v>
      </c>
      <c r="J42" s="163">
        <f>F42/D42*100</f>
        <v>3.7603448275862066</v>
      </c>
      <c r="K42" s="163">
        <v>240.17</v>
      </c>
      <c r="L42" s="163">
        <f t="shared" si="1"/>
        <v>-218.35999999999999</v>
      </c>
      <c r="M42" s="216">
        <f t="shared" si="9"/>
        <v>0.09081067577132865</v>
      </c>
      <c r="N42" s="162">
        <f>E42-квітень!E42</f>
        <v>180</v>
      </c>
      <c r="O42" s="166">
        <f>F42-квітень!F42</f>
        <v>202.67000000000002</v>
      </c>
      <c r="P42" s="165">
        <f>O42-N42</f>
        <v>22.670000000000016</v>
      </c>
      <c r="Q42" s="163">
        <f aca="true" t="shared" si="11" ref="Q42:Q65">O42/N42*100</f>
        <v>112.59444444444446</v>
      </c>
      <c r="R42" s="36">
        <v>0</v>
      </c>
      <c r="S42" s="36">
        <f>O42-R42</f>
        <v>202.67000000000002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3105</v>
      </c>
      <c r="S43" s="36">
        <f aca="true" t="shared" si="15" ref="S43:S66">O43-R43</f>
        <v>-432.70300000000043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417.03</v>
      </c>
      <c r="G46" s="160">
        <f t="shared" si="12"/>
        <v>311.03</v>
      </c>
      <c r="H46" s="162">
        <f t="shared" si="10"/>
        <v>393.42452830188677</v>
      </c>
      <c r="I46" s="163">
        <f t="shared" si="13"/>
        <v>157.02999999999997</v>
      </c>
      <c r="J46" s="163">
        <f t="shared" si="16"/>
        <v>160.39615384615385</v>
      </c>
      <c r="K46" s="163">
        <v>50.4</v>
      </c>
      <c r="L46" s="163">
        <f t="shared" si="1"/>
        <v>366.63</v>
      </c>
      <c r="M46" s="216">
        <f t="shared" si="17"/>
        <v>8.274404761904762</v>
      </c>
      <c r="N46" s="162">
        <f>E46-квітень!E46</f>
        <v>22</v>
      </c>
      <c r="O46" s="166">
        <f>F46-квітень!F46</f>
        <v>22.54699999999997</v>
      </c>
      <c r="P46" s="165">
        <f t="shared" si="14"/>
        <v>0.5469999999999686</v>
      </c>
      <c r="Q46" s="163">
        <f t="shared" si="11"/>
        <v>102.48636363636349</v>
      </c>
      <c r="R46" s="36">
        <v>22</v>
      </c>
      <c r="S46" s="36">
        <f t="shared" si="15"/>
        <v>0.5469999999999686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0</v>
      </c>
      <c r="S47" s="36">
        <f t="shared" si="15"/>
        <v>0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420.42</v>
      </c>
      <c r="G48" s="160">
        <f t="shared" si="12"/>
        <v>20.420000000000016</v>
      </c>
      <c r="H48" s="162">
        <f t="shared" si="10"/>
        <v>105.105</v>
      </c>
      <c r="I48" s="163">
        <f t="shared" si="13"/>
        <v>-309.58</v>
      </c>
      <c r="J48" s="163">
        <f t="shared" si="16"/>
        <v>57.591780821917816</v>
      </c>
      <c r="K48" s="163">
        <v>76.33</v>
      </c>
      <c r="L48" s="163">
        <f t="shared" si="1"/>
        <v>344.09000000000003</v>
      </c>
      <c r="M48" s="216"/>
      <c r="N48" s="162">
        <f>E48-квітень!E48</f>
        <v>60</v>
      </c>
      <c r="O48" s="166">
        <f>F48-квітень!F48</f>
        <v>26.94999999999999</v>
      </c>
      <c r="P48" s="165">
        <f t="shared" si="14"/>
        <v>-33.05000000000001</v>
      </c>
      <c r="Q48" s="163">
        <f t="shared" si="11"/>
        <v>44.91666666666665</v>
      </c>
      <c r="R48" s="36">
        <v>100</v>
      </c>
      <c r="S48" s="36">
        <f t="shared" si="15"/>
        <v>-73.05000000000001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5065.33</v>
      </c>
      <c r="G50" s="160">
        <f t="shared" si="12"/>
        <v>-74.67000000000007</v>
      </c>
      <c r="H50" s="162">
        <f t="shared" si="10"/>
        <v>98.54727626459145</v>
      </c>
      <c r="I50" s="163">
        <f t="shared" si="13"/>
        <v>-5934.67</v>
      </c>
      <c r="J50" s="163">
        <f t="shared" si="16"/>
        <v>46.04845454545454</v>
      </c>
      <c r="K50" s="163">
        <v>4057.41</v>
      </c>
      <c r="L50" s="163">
        <f t="shared" si="1"/>
        <v>1007.9200000000001</v>
      </c>
      <c r="M50" s="216">
        <f t="shared" si="17"/>
        <v>1.2484146290367502</v>
      </c>
      <c r="N50" s="162">
        <f>E50-квітень!E50</f>
        <v>900</v>
      </c>
      <c r="O50" s="166">
        <f>F50-квітень!F50</f>
        <v>383.8199999999997</v>
      </c>
      <c r="P50" s="165">
        <f t="shared" si="14"/>
        <v>-516.1800000000003</v>
      </c>
      <c r="Q50" s="163">
        <f t="shared" si="11"/>
        <v>42.64666666666663</v>
      </c>
      <c r="R50" s="36">
        <v>1200</v>
      </c>
      <c r="S50" s="36">
        <f t="shared" si="15"/>
        <v>-816.1800000000003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186.07</v>
      </c>
      <c r="G51" s="160">
        <f t="shared" si="12"/>
        <v>61.06999999999999</v>
      </c>
      <c r="H51" s="162">
        <f t="shared" si="10"/>
        <v>148.856</v>
      </c>
      <c r="I51" s="163">
        <f t="shared" si="13"/>
        <v>-123.93</v>
      </c>
      <c r="J51" s="163">
        <f t="shared" si="16"/>
        <v>60.022580645161284</v>
      </c>
      <c r="K51" s="163">
        <v>33.93</v>
      </c>
      <c r="L51" s="163">
        <f t="shared" si="1"/>
        <v>152.14</v>
      </c>
      <c r="M51" s="216"/>
      <c r="N51" s="162">
        <f>E51-квітень!E51</f>
        <v>25</v>
      </c>
      <c r="O51" s="166">
        <f>F51-квітень!F51</f>
        <v>10.699999999999989</v>
      </c>
      <c r="P51" s="165">
        <f t="shared" si="14"/>
        <v>-14.300000000000011</v>
      </c>
      <c r="Q51" s="163">
        <f t="shared" si="11"/>
        <v>42.799999999999955</v>
      </c>
      <c r="R51" s="36">
        <v>45</v>
      </c>
      <c r="S51" s="36">
        <f t="shared" si="15"/>
        <v>-34.30000000000001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11.36</v>
      </c>
      <c r="G52" s="160">
        <f t="shared" si="12"/>
        <v>4.359999999999999</v>
      </c>
      <c r="H52" s="162">
        <f t="shared" si="10"/>
        <v>162.28571428571428</v>
      </c>
      <c r="I52" s="163">
        <f t="shared" si="13"/>
        <v>-8.64</v>
      </c>
      <c r="J52" s="163">
        <f t="shared" si="16"/>
        <v>56.8</v>
      </c>
      <c r="K52" s="163">
        <v>7.72</v>
      </c>
      <c r="L52" s="163">
        <f t="shared" si="1"/>
        <v>3.6399999999999997</v>
      </c>
      <c r="M52" s="216"/>
      <c r="N52" s="162">
        <f>E52-квітень!E52</f>
        <v>3</v>
      </c>
      <c r="O52" s="166">
        <f>F52-квітень!F52</f>
        <v>0</v>
      </c>
      <c r="P52" s="165">
        <f t="shared" si="14"/>
        <v>-3</v>
      </c>
      <c r="Q52" s="163">
        <f t="shared" si="11"/>
        <v>0</v>
      </c>
      <c r="R52" s="36">
        <v>1</v>
      </c>
      <c r="S52" s="36">
        <f t="shared" si="15"/>
        <v>-1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562.6</v>
      </c>
      <c r="S53" s="36">
        <f t="shared" si="15"/>
        <v>-28.982000000000085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296.73</v>
      </c>
      <c r="G54" s="160">
        <f t="shared" si="12"/>
        <v>-178.26999999999998</v>
      </c>
      <c r="H54" s="162">
        <f t="shared" si="10"/>
        <v>62.46947368421053</v>
      </c>
      <c r="I54" s="163">
        <f t="shared" si="13"/>
        <v>-903.27</v>
      </c>
      <c r="J54" s="163">
        <f t="shared" si="16"/>
        <v>24.727500000000003</v>
      </c>
      <c r="K54" s="163">
        <v>2573.46</v>
      </c>
      <c r="L54" s="163">
        <f t="shared" si="1"/>
        <v>-2276.73</v>
      </c>
      <c r="M54" s="216">
        <f t="shared" si="17"/>
        <v>0.11530390991117018</v>
      </c>
      <c r="N54" s="162">
        <f>E54-квітень!E54</f>
        <v>145</v>
      </c>
      <c r="O54" s="166">
        <f>F54-квітень!F54</f>
        <v>7.468000000000018</v>
      </c>
      <c r="P54" s="165">
        <f t="shared" si="14"/>
        <v>-137.53199999999998</v>
      </c>
      <c r="Q54" s="163">
        <f t="shared" si="11"/>
        <v>5.15034482758622</v>
      </c>
      <c r="R54" s="36">
        <v>95</v>
      </c>
      <c r="S54" s="36">
        <f t="shared" si="15"/>
        <v>-87.53199999999998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260.02</v>
      </c>
      <c r="G55" s="33">
        <f t="shared" si="12"/>
        <v>-139.98000000000002</v>
      </c>
      <c r="H55" s="29">
        <f t="shared" si="10"/>
        <v>65.005</v>
      </c>
      <c r="I55" s="103">
        <f t="shared" si="13"/>
        <v>-737.98</v>
      </c>
      <c r="J55" s="103">
        <f t="shared" si="16"/>
        <v>26.054108216432866</v>
      </c>
      <c r="K55" s="103">
        <v>367.55</v>
      </c>
      <c r="L55" s="103">
        <f>F55-K55</f>
        <v>-107.53000000000003</v>
      </c>
      <c r="M55" s="108">
        <f t="shared" si="17"/>
        <v>0.7074411644674193</v>
      </c>
      <c r="N55" s="104">
        <f>E55-квітень!E55</f>
        <v>130</v>
      </c>
      <c r="O55" s="142">
        <f>F55-квітень!F55</f>
        <v>4.639999999999986</v>
      </c>
      <c r="P55" s="105">
        <f t="shared" si="14"/>
        <v>-125.36000000000001</v>
      </c>
      <c r="Q55" s="118">
        <f t="shared" si="11"/>
        <v>3.5692307692307588</v>
      </c>
      <c r="R55" s="36"/>
      <c r="S55" s="36">
        <f t="shared" si="15"/>
        <v>4.639999999999986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0.23</v>
      </c>
      <c r="L56" s="103">
        <f>F56-K56</f>
        <v>-0.11000000000000001</v>
      </c>
      <c r="M56" s="108">
        <f t="shared" si="17"/>
        <v>0.5217391304347826</v>
      </c>
      <c r="N56" s="104">
        <f>E56-квітень!E56</f>
        <v>0</v>
      </c>
      <c r="O56" s="142">
        <f>F56-квітень!F56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36.59</v>
      </c>
      <c r="G58" s="33">
        <f t="shared" si="12"/>
        <v>-38.41</v>
      </c>
      <c r="H58" s="29">
        <f t="shared" si="10"/>
        <v>48.786666666666676</v>
      </c>
      <c r="I58" s="103">
        <f t="shared" si="13"/>
        <v>-163.41</v>
      </c>
      <c r="J58" s="103">
        <f t="shared" si="16"/>
        <v>18.295</v>
      </c>
      <c r="K58" s="103">
        <v>2205.67</v>
      </c>
      <c r="L58" s="103">
        <f>F58-K58</f>
        <v>-2169.08</v>
      </c>
      <c r="M58" s="108">
        <f t="shared" si="17"/>
        <v>0.016589063640526463</v>
      </c>
      <c r="N58" s="104">
        <f>E58-квітень!E58</f>
        <v>15</v>
      </c>
      <c r="O58" s="142">
        <f>F58-квітень!F58</f>
        <v>2.8200000000000003</v>
      </c>
      <c r="P58" s="105">
        <f t="shared" si="14"/>
        <v>-12.18</v>
      </c>
      <c r="Q58" s="118">
        <f t="shared" si="11"/>
        <v>18.800000000000004</v>
      </c>
      <c r="R58" s="36"/>
      <c r="S58" s="36">
        <f t="shared" si="15"/>
        <v>2.8200000000000003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3770.42</v>
      </c>
      <c r="G60" s="160">
        <f t="shared" si="12"/>
        <v>-489.5799999999999</v>
      </c>
      <c r="H60" s="162">
        <f t="shared" si="10"/>
        <v>88.5075117370892</v>
      </c>
      <c r="I60" s="163">
        <f t="shared" si="13"/>
        <v>-3579.58</v>
      </c>
      <c r="J60" s="163">
        <f t="shared" si="16"/>
        <v>51.298231292517</v>
      </c>
      <c r="K60" s="163">
        <v>2320.11</v>
      </c>
      <c r="L60" s="163">
        <f aca="true" t="shared" si="18" ref="L60:L66">F60-K60</f>
        <v>1450.31</v>
      </c>
      <c r="M60" s="216">
        <f t="shared" si="17"/>
        <v>1.6251039821387778</v>
      </c>
      <c r="N60" s="162">
        <f>E60-квітень!E60</f>
        <v>600</v>
      </c>
      <c r="O60" s="166">
        <f>F60-квітень!F60</f>
        <v>234.20800000000008</v>
      </c>
      <c r="P60" s="165">
        <f t="shared" si="14"/>
        <v>-365.7919999999999</v>
      </c>
      <c r="Q60" s="163">
        <f t="shared" si="11"/>
        <v>39.03466666666668</v>
      </c>
      <c r="R60" s="36">
        <v>450</v>
      </c>
      <c r="S60" s="36">
        <f t="shared" si="15"/>
        <v>-215.79199999999992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735.31</v>
      </c>
      <c r="G62" s="160"/>
      <c r="H62" s="162"/>
      <c r="I62" s="163"/>
      <c r="J62" s="163"/>
      <c r="K62" s="164">
        <v>478.67</v>
      </c>
      <c r="L62" s="163">
        <f t="shared" si="18"/>
        <v>256.63999999999993</v>
      </c>
      <c r="M62" s="216">
        <f t="shared" si="17"/>
        <v>1.5361522552071363</v>
      </c>
      <c r="N62" s="193"/>
      <c r="O62" s="177">
        <f>F62-квітень!F62</f>
        <v>95.61999999999989</v>
      </c>
      <c r="P62" s="164"/>
      <c r="Q62" s="163"/>
      <c r="R62" s="36"/>
      <c r="S62" s="36">
        <f t="shared" si="15"/>
        <v>95.61999999999989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0</v>
      </c>
      <c r="S64" s="36">
        <f t="shared" si="15"/>
        <v>-0.0020000000000024443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16.85</v>
      </c>
      <c r="G65" s="160">
        <f t="shared" si="12"/>
        <v>10.450000000000001</v>
      </c>
      <c r="H65" s="162">
        <f t="shared" si="10"/>
        <v>263.28125</v>
      </c>
      <c r="I65" s="163">
        <f t="shared" si="13"/>
        <v>1.8500000000000014</v>
      </c>
      <c r="J65" s="163">
        <f t="shared" si="16"/>
        <v>112.33333333333336</v>
      </c>
      <c r="K65" s="163">
        <v>13.52</v>
      </c>
      <c r="L65" s="163">
        <f t="shared" si="18"/>
        <v>3.330000000000002</v>
      </c>
      <c r="M65" s="216">
        <f t="shared" si="17"/>
        <v>1.246301775147929</v>
      </c>
      <c r="N65" s="162">
        <f>E65-квітень!E65</f>
        <v>1.3000000000000007</v>
      </c>
      <c r="O65" s="166">
        <f>F65-квітень!F65</f>
        <v>-0.0019999999999988916</v>
      </c>
      <c r="P65" s="165">
        <f t="shared" si="14"/>
        <v>-1.3019999999999996</v>
      </c>
      <c r="Q65" s="163">
        <f t="shared" si="11"/>
        <v>-0.1538461538460685</v>
      </c>
      <c r="R65" s="36">
        <v>3.2</v>
      </c>
      <c r="S65" s="36">
        <f t="shared" si="15"/>
        <v>-3.201999999999999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172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450544.44999999995</v>
      </c>
      <c r="G67" s="149">
        <f>F67-E67</f>
        <v>-78962.8500000001</v>
      </c>
      <c r="H67" s="150">
        <f>F67/E67*100</f>
        <v>85.08748604599027</v>
      </c>
      <c r="I67" s="151">
        <f>F67-D67</f>
        <v>-906946.6500000001</v>
      </c>
      <c r="J67" s="151">
        <f>F67/D67*100</f>
        <v>33.18949568067149</v>
      </c>
      <c r="K67" s="151">
        <v>397849.29</v>
      </c>
      <c r="L67" s="151">
        <f>F67-K67</f>
        <v>52695.159999999974</v>
      </c>
      <c r="M67" s="217">
        <f>F67/K67</f>
        <v>1.1324500541398477</v>
      </c>
      <c r="N67" s="149">
        <f>N8+N41+N65+N66</f>
        <v>112090.19999999998</v>
      </c>
      <c r="O67" s="149">
        <f>O8+O41+O65+O66</f>
        <v>30782.696</v>
      </c>
      <c r="P67" s="153">
        <f>O67-N67</f>
        <v>-81307.50399999999</v>
      </c>
      <c r="Q67" s="151">
        <f>O67/N67*100</f>
        <v>27.462432933476794</v>
      </c>
      <c r="R67" s="26">
        <f>R8+R41+R65+R66</f>
        <v>110624.8</v>
      </c>
      <c r="S67" s="278">
        <f>O67-R67</f>
        <v>-79842.104</v>
      </c>
      <c r="T67" s="278"/>
      <c r="U67" s="114">
        <f>O67/34768</f>
        <v>0.8853743672342383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0.12</v>
      </c>
      <c r="G76" s="160">
        <f aca="true" t="shared" si="19" ref="G76:G87">F76-E76</f>
        <v>-4499.88</v>
      </c>
      <c r="H76" s="162"/>
      <c r="I76" s="165">
        <f aca="true" t="shared" si="20" ref="I76:I87">F76-D76</f>
        <v>-104205.91</v>
      </c>
      <c r="J76" s="165">
        <f>F76/D76*100</f>
        <v>0.00011515648374666994</v>
      </c>
      <c r="K76" s="165">
        <v>1041.97</v>
      </c>
      <c r="L76" s="165">
        <f aca="true" t="shared" si="21" ref="L76:L87">F76-K76</f>
        <v>-1041.8500000000001</v>
      </c>
      <c r="M76" s="207">
        <f>F76/K76</f>
        <v>0.00011516646352582127</v>
      </c>
      <c r="N76" s="162">
        <f>E76-квітень!E76</f>
        <v>4500</v>
      </c>
      <c r="O76" s="166">
        <f>F76-квітень!F76</f>
        <v>0</v>
      </c>
      <c r="P76" s="165">
        <f aca="true" t="shared" si="22" ref="P76:P89">O76-N76</f>
        <v>-4500</v>
      </c>
      <c r="Q76" s="165">
        <f>O76/N76*100</f>
        <v>0</v>
      </c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2461.21</v>
      </c>
      <c r="G78" s="160">
        <f t="shared" si="19"/>
        <v>-9888.79</v>
      </c>
      <c r="H78" s="162">
        <f>F78/E78*100</f>
        <v>19.928825910931174</v>
      </c>
      <c r="I78" s="165">
        <f t="shared" si="20"/>
        <v>-76538.79</v>
      </c>
      <c r="J78" s="165">
        <f>F78/D78*100</f>
        <v>3.1154556962025315</v>
      </c>
      <c r="K78" s="165">
        <v>9113.39</v>
      </c>
      <c r="L78" s="165">
        <f t="shared" si="21"/>
        <v>-6652.179999999999</v>
      </c>
      <c r="M78" s="207">
        <f>F78/K78</f>
        <v>0.2700652556293542</v>
      </c>
      <c r="N78" s="162">
        <f>E78-квітень!E78</f>
        <v>3850</v>
      </c>
      <c r="O78" s="166">
        <f>F78-квітень!F78</f>
        <v>639.76</v>
      </c>
      <c r="P78" s="165">
        <f t="shared" si="22"/>
        <v>-3210.24</v>
      </c>
      <c r="Q78" s="165">
        <f>O78/N78*100</f>
        <v>16.61714285714286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/>
      <c r="S79" s="279"/>
      <c r="T79" s="279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2772.23</v>
      </c>
      <c r="G80" s="183">
        <f t="shared" si="19"/>
        <v>-26112.77</v>
      </c>
      <c r="H80" s="184">
        <f>F80/E80*100</f>
        <v>9.597472736714558</v>
      </c>
      <c r="I80" s="185">
        <f t="shared" si="20"/>
        <v>-234445.8</v>
      </c>
      <c r="J80" s="185">
        <f>F80/D80*100</f>
        <v>1.168642198065636</v>
      </c>
      <c r="K80" s="185">
        <v>11029.59</v>
      </c>
      <c r="L80" s="185">
        <f t="shared" si="21"/>
        <v>-8257.36</v>
      </c>
      <c r="M80" s="212">
        <f>F80/K80</f>
        <v>0.251344791601501</v>
      </c>
      <c r="N80" s="183">
        <f>N76+N77+N78+N79</f>
        <v>11951</v>
      </c>
      <c r="O80" s="187">
        <f>O76+O77+O78+O79</f>
        <v>642.74</v>
      </c>
      <c r="P80" s="185">
        <f t="shared" si="22"/>
        <v>-11308.26</v>
      </c>
      <c r="Q80" s="185">
        <f>O80/N80*100</f>
        <v>5.3781273533595515</v>
      </c>
      <c r="R80" s="38"/>
      <c r="S80" s="280"/>
      <c r="T80" s="280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9.25</v>
      </c>
      <c r="G81" s="160">
        <f t="shared" si="19"/>
        <v>5.75</v>
      </c>
      <c r="H81" s="162"/>
      <c r="I81" s="165">
        <f t="shared" si="20"/>
        <v>-30.75</v>
      </c>
      <c r="J81" s="165"/>
      <c r="K81" s="165">
        <v>4.4</v>
      </c>
      <c r="L81" s="165">
        <f t="shared" si="21"/>
        <v>4.85</v>
      </c>
      <c r="M81" s="207">
        <f>F81/K81</f>
        <v>2.102272727272727</v>
      </c>
      <c r="N81" s="162">
        <f>E81-квітень!E81</f>
        <v>1</v>
      </c>
      <c r="O81" s="166">
        <f>F81-квітень!F81</f>
        <v>0</v>
      </c>
      <c r="P81" s="165">
        <f t="shared" si="22"/>
        <v>-1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2238.28</v>
      </c>
      <c r="G83" s="160">
        <f t="shared" si="19"/>
        <v>-2268.22</v>
      </c>
      <c r="H83" s="162">
        <f>F83/E83*100</f>
        <v>49.66781315877067</v>
      </c>
      <c r="I83" s="165">
        <f t="shared" si="20"/>
        <v>-6121.719999999999</v>
      </c>
      <c r="J83" s="165">
        <f>F83/D83*100</f>
        <v>26.773684210526316</v>
      </c>
      <c r="K83" s="165">
        <v>4887.77</v>
      </c>
      <c r="L83" s="165">
        <f t="shared" si="21"/>
        <v>-2649.4900000000002</v>
      </c>
      <c r="M83" s="207"/>
      <c r="N83" s="162">
        <f>E83-квітень!E83</f>
        <v>2141.3</v>
      </c>
      <c r="O83" s="166">
        <f>F83-квітень!F83</f>
        <v>6.7400000000002365</v>
      </c>
      <c r="P83" s="165">
        <f>O83-N83</f>
        <v>-2134.56</v>
      </c>
      <c r="Q83" s="188">
        <f>O83/N83*100</f>
        <v>0.3147620604305906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0.69</v>
      </c>
      <c r="L84" s="165">
        <f t="shared" si="21"/>
        <v>-0.6599999999999999</v>
      </c>
      <c r="M84" s="207">
        <f aca="true" t="shared" si="23" ref="M84:M89">F84/K84</f>
        <v>0.043478260869565216</v>
      </c>
      <c r="N84" s="162">
        <f>E84-квітень!E84</f>
        <v>0</v>
      </c>
      <c r="O84" s="166">
        <f>F84-квітень!F84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2247.5600000000004</v>
      </c>
      <c r="G85" s="181">
        <f>G81+G84+G82+G83</f>
        <v>-2262.4399999999996</v>
      </c>
      <c r="H85" s="184">
        <f>F85/E85*100</f>
        <v>49.83503325942351</v>
      </c>
      <c r="I85" s="185">
        <f t="shared" si="20"/>
        <v>-6152.44</v>
      </c>
      <c r="J85" s="185">
        <f>F85/D85*100</f>
        <v>26.756666666666675</v>
      </c>
      <c r="K85" s="185">
        <v>4892.86</v>
      </c>
      <c r="L85" s="185">
        <f t="shared" si="21"/>
        <v>-2645.2999999999993</v>
      </c>
      <c r="M85" s="218">
        <f t="shared" si="23"/>
        <v>0.4593550602306219</v>
      </c>
      <c r="N85" s="183">
        <f>N81+N84+N82+N83</f>
        <v>2142.3</v>
      </c>
      <c r="O85" s="187">
        <f>O81+O84+O82+O83</f>
        <v>6.7400000000002365</v>
      </c>
      <c r="P85" s="183">
        <f>P81+P84+P82+P83</f>
        <v>-2135.56</v>
      </c>
      <c r="Q85" s="185">
        <f>O85/N85*100</f>
        <v>0.314615133267994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7.6</v>
      </c>
      <c r="G86" s="160">
        <f t="shared" si="19"/>
        <v>-7.700000000000001</v>
      </c>
      <c r="H86" s="162">
        <f>F86/E86*100</f>
        <v>49.67320261437908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E86-квітень!E86</f>
        <v>1.200000000000001</v>
      </c>
      <c r="O86" s="166">
        <f>F86-квітень!F86</f>
        <v>0</v>
      </c>
      <c r="P86" s="165">
        <f t="shared" si="22"/>
        <v>-1.200000000000001</v>
      </c>
      <c r="Q86" s="165">
        <f>O86/N86</f>
        <v>0</v>
      </c>
      <c r="R86" s="37"/>
      <c r="S86" s="37"/>
      <c r="T86" s="37"/>
      <c r="U86" s="96"/>
    </row>
    <row r="87" spans="2:21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9"/>
        <v>35.57</v>
      </c>
      <c r="H87" s="162"/>
      <c r="I87" s="165">
        <f t="shared" si="20"/>
        <v>35.57</v>
      </c>
      <c r="J87" s="165"/>
      <c r="K87" s="165">
        <v>0</v>
      </c>
      <c r="L87" s="165">
        <f t="shared" si="21"/>
        <v>35.57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33410.3</v>
      </c>
      <c r="F88" s="189">
        <f>F74+F86+F80+F85+F87</f>
        <v>5062.97</v>
      </c>
      <c r="G88" s="190">
        <f>F88-E88</f>
        <v>-28347.33</v>
      </c>
      <c r="H88" s="191">
        <f>F88/E88*100</f>
        <v>15.15391959964442</v>
      </c>
      <c r="I88" s="192">
        <f>F88-D88</f>
        <v>-240593.06</v>
      </c>
      <c r="J88" s="192">
        <f>F88/D88*100</f>
        <v>2.060999683174885</v>
      </c>
      <c r="K88" s="192">
        <v>15931.38</v>
      </c>
      <c r="L88" s="192">
        <f>F88-K88</f>
        <v>-10868.41</v>
      </c>
      <c r="M88" s="219">
        <f t="shared" si="23"/>
        <v>0.3177985836757394</v>
      </c>
      <c r="N88" s="189">
        <f>N74+N86+N80+N85+N87</f>
        <v>14094.5</v>
      </c>
      <c r="O88" s="189">
        <f>O74+O86+O80+O85+O87</f>
        <v>649.4800000000002</v>
      </c>
      <c r="P88" s="192">
        <f t="shared" si="22"/>
        <v>-13445.02</v>
      </c>
      <c r="Q88" s="192">
        <f>O88/N88*100</f>
        <v>4.608038596615703</v>
      </c>
      <c r="R88" s="26">
        <f>O88-8104.96</f>
        <v>-7455.48</v>
      </c>
      <c r="S88" s="26"/>
      <c r="T88" s="26"/>
      <c r="U88" s="94">
        <f>O88/8104.96</f>
        <v>0.08013364655716997</v>
      </c>
    </row>
    <row r="89" spans="2:21" ht="17.25">
      <c r="B89" s="21" t="s">
        <v>170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455607.4199999999</v>
      </c>
      <c r="G89" s="190">
        <f>F89-E89</f>
        <v>-107310.18000000017</v>
      </c>
      <c r="H89" s="191">
        <f>F89/E89*100</f>
        <v>80.93678719585245</v>
      </c>
      <c r="I89" s="192">
        <f>F89-D89</f>
        <v>-1147539.7100000002</v>
      </c>
      <c r="J89" s="192">
        <f>F89/D89*100</f>
        <v>28.419563711535318</v>
      </c>
      <c r="K89" s="192">
        <f>K67+K88</f>
        <v>413780.67</v>
      </c>
      <c r="L89" s="192">
        <f>F89-K89</f>
        <v>41826.74999999994</v>
      </c>
      <c r="M89" s="219">
        <f t="shared" si="23"/>
        <v>1.1010843498320015</v>
      </c>
      <c r="N89" s="190">
        <f>N67+N88</f>
        <v>126184.69999999998</v>
      </c>
      <c r="O89" s="190">
        <f>O67+O88</f>
        <v>31432.176</v>
      </c>
      <c r="P89" s="192">
        <f t="shared" si="22"/>
        <v>-94752.52399999998</v>
      </c>
      <c r="Q89" s="192">
        <f>O89/N89*100</f>
        <v>24.90965703448992</v>
      </c>
      <c r="R89" s="26">
        <f>O89-42872.96</f>
        <v>-11440.784</v>
      </c>
      <c r="S89" s="26"/>
      <c r="T89" s="26"/>
      <c r="U89" s="94">
        <f>O89/42872.96</f>
        <v>0.7331468599322277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15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5420.500266666666</v>
      </c>
      <c r="D92" s="4" t="s">
        <v>24</v>
      </c>
      <c r="G92" s="305"/>
      <c r="H92" s="305"/>
      <c r="I92" s="305"/>
      <c r="J92" s="305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42866</v>
      </c>
      <c r="D93" s="28">
        <v>4248.5</v>
      </c>
      <c r="G93" s="4" t="s">
        <v>58</v>
      </c>
      <c r="O93" s="294"/>
      <c r="P93" s="294"/>
    </row>
    <row r="94" spans="3:16" ht="15">
      <c r="C94" s="80">
        <v>42865</v>
      </c>
      <c r="D94" s="28">
        <v>4616.2</v>
      </c>
      <c r="F94" s="112" t="s">
        <v>58</v>
      </c>
      <c r="G94" s="288"/>
      <c r="H94" s="288"/>
      <c r="I94" s="117"/>
      <c r="J94" s="291"/>
      <c r="K94" s="291"/>
      <c r="L94" s="291"/>
      <c r="M94" s="291"/>
      <c r="N94" s="291"/>
      <c r="O94" s="294"/>
      <c r="P94" s="294"/>
    </row>
    <row r="95" spans="3:16" ht="15.75" customHeight="1">
      <c r="C95" s="80">
        <v>42860</v>
      </c>
      <c r="D95" s="28">
        <v>12501.9</v>
      </c>
      <c r="F95" s="67"/>
      <c r="G95" s="288"/>
      <c r="H95" s="288"/>
      <c r="I95" s="117"/>
      <c r="J95" s="295"/>
      <c r="K95" s="295"/>
      <c r="L95" s="295"/>
      <c r="M95" s="295"/>
      <c r="N95" s="295"/>
      <c r="O95" s="294"/>
      <c r="P95" s="294"/>
    </row>
    <row r="96" spans="3:14" ht="15.75" customHeight="1">
      <c r="C96" s="80"/>
      <c r="F96" s="67"/>
      <c r="G96" s="290"/>
      <c r="H96" s="290"/>
      <c r="I96" s="123"/>
      <c r="J96" s="291"/>
      <c r="K96" s="291"/>
      <c r="L96" s="291"/>
      <c r="M96" s="291"/>
      <c r="N96" s="291"/>
    </row>
    <row r="97" spans="2:14" ht="18" customHeight="1">
      <c r="B97" s="292" t="s">
        <v>56</v>
      </c>
      <c r="C97" s="293"/>
      <c r="D97" s="132">
        <v>179.36696</v>
      </c>
      <c r="E97" s="68"/>
      <c r="F97" s="124" t="s">
        <v>105</v>
      </c>
      <c r="G97" s="288"/>
      <c r="H97" s="288"/>
      <c r="I97" s="125"/>
      <c r="J97" s="291"/>
      <c r="K97" s="291"/>
      <c r="L97" s="291"/>
      <c r="M97" s="291"/>
      <c r="N97" s="291"/>
    </row>
    <row r="98" spans="6:13" ht="9.75" customHeight="1" hidden="1">
      <c r="F98" s="67"/>
      <c r="G98" s="288"/>
      <c r="H98" s="288"/>
      <c r="I98" s="67"/>
      <c r="J98" s="68"/>
      <c r="K98" s="68"/>
      <c r="L98" s="68"/>
      <c r="M98" s="68"/>
    </row>
    <row r="99" spans="2:13" ht="22.5" customHeight="1" hidden="1">
      <c r="B99" s="286" t="s">
        <v>59</v>
      </c>
      <c r="C99" s="287"/>
      <c r="D99" s="79">
        <v>0</v>
      </c>
      <c r="E99" s="50" t="s">
        <v>24</v>
      </c>
      <c r="F99" s="67"/>
      <c r="G99" s="288"/>
      <c r="H99" s="288"/>
      <c r="I99" s="67"/>
      <c r="J99" s="68"/>
      <c r="K99" s="68"/>
      <c r="L99" s="68"/>
      <c r="M99" s="68"/>
    </row>
    <row r="100" spans="2:16" ht="15" hidden="1">
      <c r="B100" s="283" t="s">
        <v>183</v>
      </c>
      <c r="D100" s="67">
        <f>D48+D51+D52</f>
        <v>1060</v>
      </c>
      <c r="E100" s="67">
        <f>E48+E51+E52</f>
        <v>532</v>
      </c>
      <c r="F100" s="201">
        <f>F48+F51+F52</f>
        <v>617.85</v>
      </c>
      <c r="G100" s="67">
        <f>G48+G51+G52</f>
        <v>85.85000000000001</v>
      </c>
      <c r="H100" s="68"/>
      <c r="I100" s="68"/>
      <c r="N100" s="28">
        <f>N48+N51+N52</f>
        <v>88</v>
      </c>
      <c r="O100" s="200">
        <f>O48+O51+O52</f>
        <v>37.64999999999998</v>
      </c>
      <c r="P100" s="28">
        <f>P48+P51+P52</f>
        <v>-50.35000000000002</v>
      </c>
    </row>
    <row r="101" spans="4:16" ht="15" hidden="1">
      <c r="D101" s="77"/>
      <c r="I101" s="28"/>
      <c r="O101" s="289"/>
      <c r="P101" s="289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427033.41</v>
      </c>
      <c r="G102" s="28">
        <f>F102-E102</f>
        <v>-77939.09000000003</v>
      </c>
      <c r="H102" s="228">
        <f>F102/E102</f>
        <v>0.8456567634871205</v>
      </c>
      <c r="I102" s="28">
        <f>F102-D102</f>
        <v>-872015.1900000002</v>
      </c>
      <c r="J102" s="228">
        <f>F102/D102</f>
        <v>0.3287278166498158</v>
      </c>
      <c r="N102" s="28">
        <f>N9+N15+N17+N18+N19+N23+N42+N45+N65+N59</f>
        <v>106907.39999999998</v>
      </c>
      <c r="O102" s="227">
        <f>O9+O15+O17+O18+O19+O23+O42+O45+O65+O59</f>
        <v>26881.092</v>
      </c>
      <c r="P102" s="28">
        <f>O102-N102</f>
        <v>-80026.30799999998</v>
      </c>
      <c r="Q102" s="228">
        <f>O102/N102</f>
        <v>0.25144276261512305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23511.039999999997</v>
      </c>
      <c r="G103" s="28">
        <f>G43+G44+G46+G48+G50+G51+G52+G53+G54+G60+G64+G47</f>
        <v>-1018.5099999999999</v>
      </c>
      <c r="H103" s="228">
        <f>F103/E103</f>
        <v>0.9582731467140551</v>
      </c>
      <c r="I103" s="28">
        <f>I43+I44+I46+I48+I50+I51+I52+I53+I54+I60+I64+I47</f>
        <v>-34926.21</v>
      </c>
      <c r="J103" s="228">
        <f>F103/D103</f>
        <v>0.4022935363819138</v>
      </c>
      <c r="K103" s="28">
        <f aca="true" t="shared" si="24" ref="K103:P103">K43+K44+K46+K48+K50+K51+K52+K53+K54+K60+K64+K47</f>
        <v>22597.689999999995</v>
      </c>
      <c r="L103" s="28">
        <f t="shared" si="24"/>
        <v>918.6000000000007</v>
      </c>
      <c r="M103" s="28">
        <f t="shared" si="24"/>
        <v>16.79119000274592</v>
      </c>
      <c r="N103" s="28">
        <f>N43+N44+N46+N48+N50+N51+N52+N53+N54+N60+N64+N47+N66</f>
        <v>5182.8</v>
      </c>
      <c r="O103" s="227">
        <f>O43+O44+O46+O48+O50+O51+O52+O53+O54+O60+O64+O47+O66</f>
        <v>3901.603999999999</v>
      </c>
      <c r="P103" s="28">
        <f t="shared" si="24"/>
        <v>-1281.1960000000006</v>
      </c>
      <c r="Q103" s="228">
        <f>O103/N103</f>
        <v>0.7527984873041597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529507.3</v>
      </c>
      <c r="F104" s="227">
        <f t="shared" si="25"/>
        <v>450544.44999999995</v>
      </c>
      <c r="G104" s="28">
        <f t="shared" si="25"/>
        <v>-78957.60000000002</v>
      </c>
      <c r="H104" s="228">
        <f>F104/E104</f>
        <v>0.8508748604599028</v>
      </c>
      <c r="I104" s="28">
        <f t="shared" si="25"/>
        <v>-906941.4000000001</v>
      </c>
      <c r="J104" s="228">
        <f>F104/D104</f>
        <v>0.33189495680671494</v>
      </c>
      <c r="K104" s="28">
        <f t="shared" si="25"/>
        <v>22597.689999999995</v>
      </c>
      <c r="L104" s="28">
        <f t="shared" si="25"/>
        <v>918.6000000000007</v>
      </c>
      <c r="M104" s="28">
        <f t="shared" si="25"/>
        <v>16.79119000274592</v>
      </c>
      <c r="N104" s="28">
        <f t="shared" si="25"/>
        <v>112090.19999999998</v>
      </c>
      <c r="O104" s="227">
        <f t="shared" si="25"/>
        <v>30782.696</v>
      </c>
      <c r="P104" s="28">
        <f t="shared" si="25"/>
        <v>-81307.50399999997</v>
      </c>
      <c r="Q104" s="228">
        <f>O104/N104</f>
        <v>0.27462432933476794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-5.25000000007276</v>
      </c>
      <c r="H105" s="228"/>
      <c r="I105" s="28">
        <f t="shared" si="26"/>
        <v>-5.25</v>
      </c>
      <c r="J105" s="228"/>
      <c r="K105" s="28">
        <f t="shared" si="26"/>
        <v>375251.6</v>
      </c>
      <c r="L105" s="28">
        <f t="shared" si="26"/>
        <v>51776.559999999976</v>
      </c>
      <c r="M105" s="28">
        <f t="shared" si="26"/>
        <v>-15.658739948606073</v>
      </c>
      <c r="N105" s="28">
        <f t="shared" si="26"/>
        <v>0</v>
      </c>
      <c r="O105" s="28">
        <f t="shared" si="26"/>
        <v>0</v>
      </c>
      <c r="P105" s="28">
        <f t="shared" si="26"/>
        <v>0</v>
      </c>
      <c r="Q105" s="28"/>
      <c r="R105" s="28">
        <f t="shared" si="26"/>
        <v>110624.8</v>
      </c>
      <c r="S105" s="28"/>
      <c r="T105" s="28"/>
      <c r="U105" s="28">
        <f t="shared" si="26"/>
        <v>0.8853743672342383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53716.60000000005</v>
      </c>
    </row>
    <row r="108" spans="2:5" ht="15" hidden="1">
      <c r="B108" s="242" t="s">
        <v>154</v>
      </c>
      <c r="E108" s="28">
        <f>E88-E83-E76-E77</f>
        <v>12373.800000000003</v>
      </c>
    </row>
    <row r="109" ht="15" hidden="1"/>
    <row r="110" spans="2:21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268"/>
      <c r="T110" s="268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25317.29</v>
      </c>
      <c r="G111" s="190">
        <f>F111-E111</f>
        <v>-26195.07</v>
      </c>
      <c r="H111" s="191">
        <f>F111/E111*100</f>
        <v>49.147990889953405</v>
      </c>
      <c r="I111" s="192">
        <f>F111-D111</f>
        <v>-292746.96</v>
      </c>
      <c r="J111" s="192">
        <f>F111/D111*100</f>
        <v>7.959803718902707</v>
      </c>
      <c r="K111" s="192">
        <v>3039.87</v>
      </c>
      <c r="L111" s="192">
        <f>F111-K111</f>
        <v>22277.420000000002</v>
      </c>
      <c r="M111" s="267">
        <f>F111/K111</f>
        <v>8.328412070253005</v>
      </c>
      <c r="N111" s="270"/>
      <c r="O111" s="270"/>
      <c r="P111" s="271"/>
      <c r="Q111" s="271"/>
      <c r="R111" s="269">
        <f>O111-8104.96</f>
        <v>-8104.96</v>
      </c>
      <c r="S111" s="269"/>
      <c r="T111" s="269"/>
      <c r="U111" s="94">
        <f>O111/8104.96</f>
        <v>0</v>
      </c>
    </row>
    <row r="112" spans="2:21" ht="17.25" hidden="1">
      <c r="B112" s="21" t="s">
        <v>169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475861.73999999993</v>
      </c>
      <c r="G112" s="190">
        <f>F112-E112</f>
        <v>-105157.9200000001</v>
      </c>
      <c r="H112" s="191">
        <f>F112/E112*100</f>
        <v>81.90114255342064</v>
      </c>
      <c r="I112" s="192">
        <f>F112-D112</f>
        <v>-1199693.61</v>
      </c>
      <c r="J112" s="192">
        <f>F112/D112*100</f>
        <v>28.40023995626285</v>
      </c>
      <c r="K112" s="192">
        <f>K89+K111</f>
        <v>416820.54</v>
      </c>
      <c r="L112" s="192">
        <f>F112-K112</f>
        <v>59041.19999999995</v>
      </c>
      <c r="M112" s="267">
        <f>F112/K112</f>
        <v>1.141646570488105</v>
      </c>
      <c r="N112" s="272"/>
      <c r="O112" s="272"/>
      <c r="P112" s="271"/>
      <c r="Q112" s="271"/>
      <c r="R112" s="269">
        <f>O112-42872.96</f>
        <v>-42872.96</v>
      </c>
      <c r="S112" s="269"/>
      <c r="T112" s="269"/>
      <c r="U112" s="94">
        <f>O112/42872.96</f>
        <v>0</v>
      </c>
    </row>
    <row r="113" spans="2:21" ht="15" hidden="1">
      <c r="B113" s="238" t="s">
        <v>171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142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165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166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168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167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1131675.26</v>
      </c>
      <c r="F124" s="275">
        <f>F112+F113</f>
        <v>1021690.8199999998</v>
      </c>
      <c r="G124" s="276">
        <f t="shared" si="28"/>
        <v>-109984.44000000018</v>
      </c>
      <c r="H124" s="275">
        <f t="shared" si="30"/>
        <v>90.28127203204917</v>
      </c>
      <c r="I124" s="277">
        <f t="shared" si="29"/>
        <v>-1876733.2200000002</v>
      </c>
      <c r="J124" s="277">
        <f t="shared" si="31"/>
        <v>35.24987392803987</v>
      </c>
      <c r="Q124" s="240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9" sqref="B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2" t="s">
        <v>184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5"/>
      <c r="S1" s="85"/>
      <c r="T1" s="85"/>
      <c r="U1" s="86"/>
    </row>
    <row r="2" spans="2:21" s="1" customFormat="1" ht="15.75" customHeight="1">
      <c r="B2" s="313"/>
      <c r="C2" s="313"/>
      <c r="D2" s="313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4"/>
      <c r="B3" s="316"/>
      <c r="C3" s="317" t="s">
        <v>0</v>
      </c>
      <c r="D3" s="318" t="s">
        <v>138</v>
      </c>
      <c r="E3" s="31"/>
      <c r="F3" s="319" t="s">
        <v>26</v>
      </c>
      <c r="G3" s="320"/>
      <c r="H3" s="320"/>
      <c r="I3" s="320"/>
      <c r="J3" s="321"/>
      <c r="K3" s="82"/>
      <c r="L3" s="82"/>
      <c r="M3" s="82"/>
      <c r="N3" s="322" t="s">
        <v>179</v>
      </c>
      <c r="O3" s="323" t="s">
        <v>178</v>
      </c>
      <c r="P3" s="323"/>
      <c r="Q3" s="323"/>
      <c r="R3" s="323"/>
      <c r="S3" s="323"/>
      <c r="T3" s="323"/>
      <c r="U3" s="323"/>
    </row>
    <row r="4" spans="1:21" ht="22.5" customHeight="1">
      <c r="A4" s="314"/>
      <c r="B4" s="316"/>
      <c r="C4" s="317"/>
      <c r="D4" s="318"/>
      <c r="E4" s="324" t="s">
        <v>175</v>
      </c>
      <c r="F4" s="306" t="s">
        <v>33</v>
      </c>
      <c r="G4" s="296" t="s">
        <v>176</v>
      </c>
      <c r="H4" s="308" t="s">
        <v>177</v>
      </c>
      <c r="I4" s="296" t="s">
        <v>125</v>
      </c>
      <c r="J4" s="308" t="s">
        <v>126</v>
      </c>
      <c r="K4" s="84" t="s">
        <v>128</v>
      </c>
      <c r="L4" s="202" t="s">
        <v>111</v>
      </c>
      <c r="M4" s="89" t="s">
        <v>63</v>
      </c>
      <c r="N4" s="308"/>
      <c r="O4" s="310" t="s">
        <v>185</v>
      </c>
      <c r="P4" s="296" t="s">
        <v>49</v>
      </c>
      <c r="Q4" s="298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15"/>
      <c r="B5" s="316"/>
      <c r="C5" s="317"/>
      <c r="D5" s="318"/>
      <c r="E5" s="325"/>
      <c r="F5" s="307"/>
      <c r="G5" s="297"/>
      <c r="H5" s="309"/>
      <c r="I5" s="297"/>
      <c r="J5" s="309"/>
      <c r="K5" s="299" t="s">
        <v>180</v>
      </c>
      <c r="L5" s="300"/>
      <c r="M5" s="301"/>
      <c r="N5" s="309"/>
      <c r="O5" s="311"/>
      <c r="P5" s="297"/>
      <c r="Q5" s="298"/>
      <c r="R5" s="302" t="s">
        <v>181</v>
      </c>
      <c r="S5" s="303"/>
      <c r="T5" s="304" t="s">
        <v>182</v>
      </c>
      <c r="U5" s="304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5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50" t="s">
        <v>193</v>
      </c>
      <c r="C20" s="122">
        <v>14040000</v>
      </c>
      <c r="D20" s="251">
        <v>76500</v>
      </c>
      <c r="E20" s="251">
        <v>23900</v>
      </c>
      <c r="F20" s="199">
        <v>21979.58</v>
      </c>
      <c r="G20" s="251">
        <f t="shared" si="0"/>
        <v>-1920.4199999999983</v>
      </c>
      <c r="H20" s="193">
        <f t="shared" si="3"/>
        <v>91.96476987447699</v>
      </c>
      <c r="I20" s="252">
        <f t="shared" si="4"/>
        <v>-54520.42</v>
      </c>
      <c r="J20" s="252">
        <f t="shared" si="5"/>
        <v>28.73147712418301</v>
      </c>
      <c r="K20" s="253">
        <v>26018.6</v>
      </c>
      <c r="L20" s="164">
        <f t="shared" si="1"/>
        <v>-4039.019999999997</v>
      </c>
      <c r="M20" s="254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2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50" t="s">
        <v>158</v>
      </c>
      <c r="C21" s="122">
        <v>14021900</v>
      </c>
      <c r="D21" s="251">
        <v>10700</v>
      </c>
      <c r="E21" s="251">
        <v>3000</v>
      </c>
      <c r="F21" s="199">
        <v>3118.94</v>
      </c>
      <c r="G21" s="251">
        <f t="shared" si="0"/>
        <v>118.94000000000005</v>
      </c>
      <c r="H21" s="193"/>
      <c r="I21" s="252">
        <f t="shared" si="4"/>
        <v>-7581.0599999999995</v>
      </c>
      <c r="J21" s="252">
        <f t="shared" si="5"/>
        <v>29.14897196261682</v>
      </c>
      <c r="K21" s="253">
        <v>0</v>
      </c>
      <c r="L21" s="164">
        <f t="shared" si="1"/>
        <v>3118.94</v>
      </c>
      <c r="M21" s="254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2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50" t="s">
        <v>159</v>
      </c>
      <c r="C22" s="122">
        <v>14031900</v>
      </c>
      <c r="D22" s="251">
        <v>42800</v>
      </c>
      <c r="E22" s="251">
        <v>11000</v>
      </c>
      <c r="F22" s="199">
        <v>11006.24</v>
      </c>
      <c r="G22" s="251">
        <f t="shared" si="0"/>
        <v>6.239999999999782</v>
      </c>
      <c r="H22" s="193"/>
      <c r="I22" s="252">
        <f t="shared" si="4"/>
        <v>-31793.760000000002</v>
      </c>
      <c r="J22" s="252">
        <f t="shared" si="5"/>
        <v>25.715514018691586</v>
      </c>
      <c r="K22" s="253">
        <v>0</v>
      </c>
      <c r="L22" s="164">
        <f t="shared" si="1"/>
        <v>11006.24</v>
      </c>
      <c r="M22" s="254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2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1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5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172</v>
      </c>
      <c r="C67" s="61"/>
      <c r="D67" s="149">
        <f>D8+D41+D65+D66</f>
        <v>1357491.1</v>
      </c>
      <c r="E67" s="149">
        <f>E8+E41+E65+E66</f>
        <v>417417.1</v>
      </c>
      <c r="F67" s="285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8">
        <f>O67-R67</f>
        <v>1707.9540000000125</v>
      </c>
      <c r="T67" s="278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aca="true" t="shared" si="19" ref="G76:G87">F76-E76</f>
        <v>0.12</v>
      </c>
      <c r="H76" s="162"/>
      <c r="I76" s="165">
        <f aca="true" t="shared" si="20" ref="I76:I87">F76-D76</f>
        <v>-104205.91</v>
      </c>
      <c r="J76" s="165">
        <f>F76/D76*100</f>
        <v>0.00011515648374666994</v>
      </c>
      <c r="K76" s="165">
        <v>300.88</v>
      </c>
      <c r="L76" s="165">
        <f aca="true" t="shared" si="21" ref="L76:L87">F76-K76</f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aca="true" t="shared" si="22" ref="P76:P89">O76-N76</f>
        <v>0.009999999999999995</v>
      </c>
      <c r="Q76" s="165" t="e">
        <f>O76/N76*100</f>
        <v>#DIV/0!</v>
      </c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9"/>
      <c r="T79" s="279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80"/>
      <c r="T80" s="280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9"/>
        <v>35.57</v>
      </c>
      <c r="H87" s="162"/>
      <c r="I87" s="165">
        <f t="shared" si="20"/>
        <v>35.57</v>
      </c>
      <c r="J87" s="165"/>
      <c r="K87" s="165">
        <v>0</v>
      </c>
      <c r="L87" s="165">
        <f t="shared" si="21"/>
        <v>35.57</v>
      </c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19315.8</v>
      </c>
      <c r="F88" s="189">
        <f>F74+F86+F80+F85+F87</f>
        <v>4413.49</v>
      </c>
      <c r="G88" s="190">
        <f>F88-E88</f>
        <v>-14902.31</v>
      </c>
      <c r="H88" s="191">
        <f>F88/E88*100</f>
        <v>22.84911833835513</v>
      </c>
      <c r="I88" s="192">
        <f>F88-D88</f>
        <v>-241242.54</v>
      </c>
      <c r="J88" s="192">
        <f>F88/D88*100</f>
        <v>1.796613744836632</v>
      </c>
      <c r="K88" s="192">
        <v>11639.75</v>
      </c>
      <c r="L88" s="192">
        <f>F88-K88</f>
        <v>-7226.26</v>
      </c>
      <c r="M88" s="219">
        <f t="shared" si="23"/>
        <v>0.3791739513305698</v>
      </c>
      <c r="N88" s="189">
        <f>N74+N86+N80+N85+N87</f>
        <v>7463.099999999999</v>
      </c>
      <c r="O88" s="189">
        <f>O74+O86+O80+O85+O87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170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05"/>
      <c r="H92" s="305"/>
      <c r="I92" s="305"/>
      <c r="J92" s="305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294"/>
      <c r="P93" s="294"/>
    </row>
    <row r="94" spans="3:16" ht="15">
      <c r="C94" s="80">
        <v>42852</v>
      </c>
      <c r="D94" s="28">
        <v>13266.8</v>
      </c>
      <c r="F94" s="112" t="s">
        <v>58</v>
      </c>
      <c r="G94" s="288"/>
      <c r="H94" s="288"/>
      <c r="I94" s="117"/>
      <c r="J94" s="291"/>
      <c r="K94" s="291"/>
      <c r="L94" s="291"/>
      <c r="M94" s="291"/>
      <c r="N94" s="291"/>
      <c r="O94" s="294"/>
      <c r="P94" s="294"/>
    </row>
    <row r="95" spans="3:16" ht="15.75" customHeight="1">
      <c r="C95" s="80">
        <v>42851</v>
      </c>
      <c r="D95" s="28">
        <v>6064.2</v>
      </c>
      <c r="F95" s="67"/>
      <c r="G95" s="288"/>
      <c r="H95" s="288"/>
      <c r="I95" s="117"/>
      <c r="J95" s="295"/>
      <c r="K95" s="295"/>
      <c r="L95" s="295"/>
      <c r="M95" s="295"/>
      <c r="N95" s="295"/>
      <c r="O95" s="294"/>
      <c r="P95" s="294"/>
    </row>
    <row r="96" spans="3:14" ht="15.75" customHeight="1">
      <c r="C96" s="80"/>
      <c r="F96" s="67"/>
      <c r="G96" s="290"/>
      <c r="H96" s="290"/>
      <c r="I96" s="123"/>
      <c r="J96" s="291"/>
      <c r="K96" s="291"/>
      <c r="L96" s="291"/>
      <c r="M96" s="291"/>
      <c r="N96" s="291"/>
    </row>
    <row r="97" spans="2:14" ht="18" customHeight="1">
      <c r="B97" s="292" t="s">
        <v>56</v>
      </c>
      <c r="C97" s="293"/>
      <c r="D97" s="132">
        <v>102.57358</v>
      </c>
      <c r="E97" s="68"/>
      <c r="F97" s="124" t="s">
        <v>105</v>
      </c>
      <c r="G97" s="288"/>
      <c r="H97" s="288"/>
      <c r="I97" s="125"/>
      <c r="J97" s="291"/>
      <c r="K97" s="291"/>
      <c r="L97" s="291"/>
      <c r="M97" s="291"/>
      <c r="N97" s="291"/>
    </row>
    <row r="98" spans="6:13" ht="9.75" customHeight="1" hidden="1">
      <c r="F98" s="67"/>
      <c r="G98" s="288"/>
      <c r="H98" s="288"/>
      <c r="I98" s="67"/>
      <c r="J98" s="68"/>
      <c r="K98" s="68"/>
      <c r="L98" s="68"/>
      <c r="M98" s="68"/>
    </row>
    <row r="99" spans="2:13" ht="22.5" customHeight="1" hidden="1">
      <c r="B99" s="286" t="s">
        <v>59</v>
      </c>
      <c r="C99" s="287"/>
      <c r="D99" s="79">
        <v>0</v>
      </c>
      <c r="E99" s="50" t="s">
        <v>24</v>
      </c>
      <c r="F99" s="67"/>
      <c r="G99" s="288"/>
      <c r="H99" s="288"/>
      <c r="I99" s="67"/>
      <c r="J99" s="68"/>
      <c r="K99" s="68"/>
      <c r="L99" s="68"/>
      <c r="M99" s="68"/>
    </row>
    <row r="100" spans="2:16" ht="15" hidden="1">
      <c r="B100" s="283" t="s">
        <v>183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289"/>
      <c r="P101" s="289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43161.39999999998</v>
      </c>
    </row>
    <row r="108" spans="2:5" ht="15" hidden="1">
      <c r="B108" s="242" t="s">
        <v>154</v>
      </c>
      <c r="E108" s="28">
        <f>E88-E83-E76-E77</f>
        <v>8520.599999999999</v>
      </c>
    </row>
    <row r="109" ht="15" hidden="1"/>
    <row r="110" spans="2:21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268"/>
      <c r="T110" s="268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24667.809999999998</v>
      </c>
      <c r="G111" s="190">
        <f>F111-E111</f>
        <v>-12750.050000000003</v>
      </c>
      <c r="H111" s="191">
        <f>F111/E111*100</f>
        <v>65.92522928890106</v>
      </c>
      <c r="I111" s="192">
        <f>F111-D111</f>
        <v>-293396.44</v>
      </c>
      <c r="J111" s="192">
        <f>F111/D111*100</f>
        <v>7.75560598212468</v>
      </c>
      <c r="K111" s="192">
        <v>3039.87</v>
      </c>
      <c r="L111" s="192">
        <f>F111-K111</f>
        <v>21627.94</v>
      </c>
      <c r="M111" s="267">
        <f>F111/K111</f>
        <v>8.114758196896577</v>
      </c>
      <c r="N111" s="270"/>
      <c r="O111" s="270"/>
      <c r="P111" s="271"/>
      <c r="Q111" s="271"/>
      <c r="R111" s="269">
        <f>O111-8104.96</f>
        <v>-8104.96</v>
      </c>
      <c r="S111" s="269"/>
      <c r="T111" s="269"/>
      <c r="U111" s="94">
        <f>O111/8104.96</f>
        <v>0</v>
      </c>
    </row>
    <row r="112" spans="2:21" ht="17.25" hidden="1">
      <c r="B112" s="21" t="s">
        <v>169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7">
        <f>F112/K112</f>
        <v>1.3650195543550625</v>
      </c>
      <c r="N112" s="272"/>
      <c r="O112" s="272"/>
      <c r="P112" s="271"/>
      <c r="Q112" s="271"/>
      <c r="R112" s="269">
        <f>O112-42872.96</f>
        <v>-42872.96</v>
      </c>
      <c r="S112" s="269"/>
      <c r="T112" s="269"/>
      <c r="U112" s="94">
        <f>O112/42872.96</f>
        <v>0</v>
      </c>
    </row>
    <row r="113" spans="2:21" ht="15" hidden="1">
      <c r="B113" s="238" t="s">
        <v>171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142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165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166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168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167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1005490.5599999999</v>
      </c>
      <c r="F124" s="275">
        <f>F112+F113</f>
        <v>990258.644</v>
      </c>
      <c r="G124" s="276">
        <f t="shared" si="28"/>
        <v>-15231.915999999968</v>
      </c>
      <c r="H124" s="275">
        <f t="shared" si="30"/>
        <v>98.48512590709952</v>
      </c>
      <c r="I124" s="277">
        <f t="shared" si="29"/>
        <v>-1908165.3960000002</v>
      </c>
      <c r="J124" s="277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35" sqref="B1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8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12" t="s">
        <v>173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5"/>
      <c r="S1" s="86"/>
      <c r="T1" s="244"/>
      <c r="U1" s="247"/>
      <c r="V1" s="257"/>
      <c r="W1" s="257"/>
    </row>
    <row r="2" spans="2:23" s="1" customFormat="1" ht="15.75" customHeight="1">
      <c r="B2" s="313"/>
      <c r="C2" s="313"/>
      <c r="D2" s="313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4"/>
      <c r="U2" s="247"/>
      <c r="V2" s="257"/>
      <c r="W2" s="257"/>
    </row>
    <row r="3" spans="1:23" s="3" customFormat="1" ht="13.5" customHeight="1">
      <c r="A3" s="314"/>
      <c r="B3" s="316"/>
      <c r="C3" s="317" t="s">
        <v>0</v>
      </c>
      <c r="D3" s="318" t="s">
        <v>138</v>
      </c>
      <c r="E3" s="31"/>
      <c r="F3" s="319" t="s">
        <v>26</v>
      </c>
      <c r="G3" s="320"/>
      <c r="H3" s="320"/>
      <c r="I3" s="320"/>
      <c r="J3" s="321"/>
      <c r="K3" s="82"/>
      <c r="L3" s="82"/>
      <c r="M3" s="82"/>
      <c r="N3" s="322" t="s">
        <v>151</v>
      </c>
      <c r="O3" s="323" t="s">
        <v>152</v>
      </c>
      <c r="P3" s="323"/>
      <c r="Q3" s="323"/>
      <c r="R3" s="323"/>
      <c r="S3" s="323"/>
      <c r="T3" s="112" t="s">
        <v>162</v>
      </c>
      <c r="U3" s="112" t="s">
        <v>162</v>
      </c>
      <c r="V3" s="258" t="s">
        <v>162</v>
      </c>
      <c r="W3" s="258" t="s">
        <v>162</v>
      </c>
    </row>
    <row r="4" spans="1:22" ht="22.5" customHeight="1">
      <c r="A4" s="314"/>
      <c r="B4" s="316"/>
      <c r="C4" s="317"/>
      <c r="D4" s="318"/>
      <c r="E4" s="324" t="s">
        <v>141</v>
      </c>
      <c r="F4" s="306" t="s">
        <v>33</v>
      </c>
      <c r="G4" s="296" t="s">
        <v>150</v>
      </c>
      <c r="H4" s="308" t="s">
        <v>164</v>
      </c>
      <c r="I4" s="296" t="s">
        <v>125</v>
      </c>
      <c r="J4" s="308" t="s">
        <v>126</v>
      </c>
      <c r="K4" s="84" t="s">
        <v>128</v>
      </c>
      <c r="L4" s="202" t="s">
        <v>111</v>
      </c>
      <c r="M4" s="89" t="s">
        <v>63</v>
      </c>
      <c r="N4" s="308"/>
      <c r="O4" s="310" t="s">
        <v>174</v>
      </c>
      <c r="P4" s="296" t="s">
        <v>49</v>
      </c>
      <c r="Q4" s="298" t="s">
        <v>48</v>
      </c>
      <c r="R4" s="90" t="s">
        <v>64</v>
      </c>
      <c r="S4" s="91" t="s">
        <v>63</v>
      </c>
      <c r="T4" s="28" t="s">
        <v>161</v>
      </c>
      <c r="U4" s="248" t="s">
        <v>161</v>
      </c>
      <c r="V4" s="77" t="s">
        <v>163</v>
      </c>
    </row>
    <row r="5" spans="1:23" ht="67.5" customHeight="1">
      <c r="A5" s="315"/>
      <c r="B5" s="316"/>
      <c r="C5" s="317"/>
      <c r="D5" s="318"/>
      <c r="E5" s="325"/>
      <c r="F5" s="307"/>
      <c r="G5" s="297"/>
      <c r="H5" s="309"/>
      <c r="I5" s="297"/>
      <c r="J5" s="309"/>
      <c r="K5" s="299" t="s">
        <v>157</v>
      </c>
      <c r="L5" s="300"/>
      <c r="M5" s="301"/>
      <c r="N5" s="309"/>
      <c r="O5" s="311"/>
      <c r="P5" s="297"/>
      <c r="Q5" s="298"/>
      <c r="R5" s="299" t="s">
        <v>102</v>
      </c>
      <c r="S5" s="301"/>
      <c r="T5" s="28" t="s">
        <v>155</v>
      </c>
      <c r="U5" s="248" t="s">
        <v>156</v>
      </c>
      <c r="V5" s="77" t="s">
        <v>155</v>
      </c>
      <c r="W5" s="259" t="s">
        <v>156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5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5">
        <f>O9-T9</f>
        <v>1525.4199999999837</v>
      </c>
      <c r="V9" s="131">
        <v>160661.9</v>
      </c>
      <c r="W9" s="263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5">
        <f aca="true" t="shared" si="8" ref="U10:U42">O10-T10</f>
        <v>55588.729999999996</v>
      </c>
      <c r="V10" s="131"/>
      <c r="W10" s="262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5">
        <f t="shared" si="8"/>
        <v>3209.2199999999993</v>
      </c>
      <c r="V11" s="131"/>
      <c r="W11" s="262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5">
        <f t="shared" si="8"/>
        <v>727.27</v>
      </c>
      <c r="V12" s="131"/>
      <c r="W12" s="262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5">
        <f t="shared" si="8"/>
        <v>600.8399999999999</v>
      </c>
      <c r="V13" s="131"/>
      <c r="W13" s="262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5"/>
      <c r="U14" s="245">
        <f t="shared" si="8"/>
        <v>175.36</v>
      </c>
      <c r="V14" s="131"/>
      <c r="W14" s="262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5">
        <f t="shared" si="8"/>
        <v>-3.1300000000000523</v>
      </c>
      <c r="V15" s="131"/>
      <c r="W15" s="262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5">
        <f t="shared" si="8"/>
        <v>0</v>
      </c>
      <c r="V16" s="131"/>
      <c r="W16" s="262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5">
        <f t="shared" si="8"/>
        <v>0</v>
      </c>
      <c r="V17" s="131"/>
      <c r="W17" s="262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5"/>
      <c r="V18" s="131"/>
      <c r="W18" s="262"/>
    </row>
    <row r="19" spans="1:23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5"/>
      <c r="V19" s="131"/>
      <c r="W19" s="262"/>
    </row>
    <row r="20" spans="1:23" s="6" customFormat="1" ht="61.5">
      <c r="A20" s="8"/>
      <c r="B20" s="250" t="s">
        <v>193</v>
      </c>
      <c r="C20" s="122">
        <v>14040000</v>
      </c>
      <c r="D20" s="251">
        <v>130000</v>
      </c>
      <c r="E20" s="251">
        <v>27800</v>
      </c>
      <c r="F20" s="199">
        <v>17734.06</v>
      </c>
      <c r="G20" s="251">
        <f t="shared" si="0"/>
        <v>-10065.939999999999</v>
      </c>
      <c r="H20" s="193">
        <f t="shared" si="3"/>
        <v>63.79158273381296</v>
      </c>
      <c r="I20" s="252">
        <f t="shared" si="4"/>
        <v>-112265.94</v>
      </c>
      <c r="J20" s="252">
        <f t="shared" si="5"/>
        <v>13.641584615384616</v>
      </c>
      <c r="K20" s="253">
        <v>18270.89</v>
      </c>
      <c r="L20" s="164">
        <f t="shared" si="1"/>
        <v>-536.8299999999981</v>
      </c>
      <c r="M20" s="254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2">
        <f t="shared" si="7"/>
        <v>41.10357142857144</v>
      </c>
      <c r="R20" s="106"/>
      <c r="S20" s="107"/>
      <c r="T20" s="255">
        <v>4250</v>
      </c>
      <c r="U20" s="256">
        <f t="shared" si="8"/>
        <v>-221.84999999999854</v>
      </c>
      <c r="V20" s="260">
        <v>17955.9</v>
      </c>
      <c r="W20" s="263">
        <f>F20-V20</f>
        <v>-221.84000000000015</v>
      </c>
    </row>
    <row r="21" spans="1:23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2236.79</v>
      </c>
      <c r="G21" s="251">
        <f t="shared" si="0"/>
        <v>2236.79</v>
      </c>
      <c r="H21" s="193"/>
      <c r="I21" s="252">
        <f t="shared" si="4"/>
        <v>2236.79</v>
      </c>
      <c r="J21" s="252"/>
      <c r="K21" s="253">
        <v>0</v>
      </c>
      <c r="L21" s="164">
        <f t="shared" si="1"/>
        <v>2236.79</v>
      </c>
      <c r="M21" s="254"/>
      <c r="N21" s="193">
        <v>0</v>
      </c>
      <c r="O21" s="177">
        <f>F21</f>
        <v>2236.79</v>
      </c>
      <c r="P21" s="164"/>
      <c r="Q21" s="252"/>
      <c r="R21" s="106"/>
      <c r="S21" s="107"/>
      <c r="T21" s="255"/>
      <c r="U21" s="256"/>
      <c r="V21" s="260"/>
      <c r="W21" s="262"/>
    </row>
    <row r="22" spans="1:23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7663.01</v>
      </c>
      <c r="G22" s="251">
        <f t="shared" si="0"/>
        <v>7663.01</v>
      </c>
      <c r="H22" s="193"/>
      <c r="I22" s="252">
        <f t="shared" si="4"/>
        <v>7663.01</v>
      </c>
      <c r="J22" s="252"/>
      <c r="K22" s="253">
        <v>0</v>
      </c>
      <c r="L22" s="164">
        <f t="shared" si="1"/>
        <v>7663.01</v>
      </c>
      <c r="M22" s="254"/>
      <c r="N22" s="193">
        <v>0</v>
      </c>
      <c r="O22" s="177">
        <f>F22</f>
        <v>7663.01</v>
      </c>
      <c r="P22" s="164"/>
      <c r="Q22" s="252"/>
      <c r="R22" s="106"/>
      <c r="S22" s="107"/>
      <c r="T22" s="255"/>
      <c r="U22" s="256"/>
      <c r="V22" s="260"/>
      <c r="W22" s="262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5"/>
      <c r="V23" s="131"/>
      <c r="W23" s="262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5"/>
      <c r="V24" s="131"/>
      <c r="W24" s="262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5">
        <f t="shared" si="8"/>
        <v>431.72999999999956</v>
      </c>
      <c r="V25" s="131"/>
      <c r="W25" s="262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5">
        <f t="shared" si="8"/>
        <v>6.840000000000003</v>
      </c>
      <c r="V26" s="131"/>
      <c r="W26" s="262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5">
        <f t="shared" si="8"/>
        <v>798.8900000000003</v>
      </c>
      <c r="V27" s="131"/>
      <c r="W27" s="262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5">
        <f t="shared" si="8"/>
        <v>-47.92</v>
      </c>
      <c r="V28" s="131"/>
      <c r="W28" s="262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5">
        <f t="shared" si="8"/>
        <v>1126.5</v>
      </c>
      <c r="V29" s="131">
        <v>42191.7</v>
      </c>
      <c r="W29" s="263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5">
        <f t="shared" si="8"/>
        <v>5576.230000000001</v>
      </c>
      <c r="V30" s="131"/>
      <c r="W30" s="262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5">
        <f t="shared" si="8"/>
        <v>10774.27</v>
      </c>
      <c r="V31" s="131"/>
      <c r="W31" s="262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5"/>
      <c r="V32" s="131"/>
      <c r="W32" s="262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5"/>
      <c r="V33" s="131"/>
      <c r="W33" s="262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5"/>
      <c r="V34" s="131"/>
      <c r="W34" s="262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5">
        <f t="shared" si="8"/>
        <v>1118.060000000005</v>
      </c>
      <c r="V35" s="131"/>
      <c r="W35" s="262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5">
        <f t="shared" si="8"/>
        <v>0</v>
      </c>
      <c r="V36" s="131"/>
      <c r="W36" s="262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5">
        <f t="shared" si="8"/>
        <v>1191.9699999999993</v>
      </c>
      <c r="V37" s="131"/>
      <c r="W37" s="262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5">
        <f t="shared" si="8"/>
        <v>6576.080000000002</v>
      </c>
      <c r="V38" s="131"/>
      <c r="W38" s="262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5">
        <f t="shared" si="8"/>
        <v>0</v>
      </c>
      <c r="V39" s="131"/>
      <c r="W39" s="262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5">
        <f t="shared" si="8"/>
        <v>0</v>
      </c>
      <c r="V40" s="131"/>
      <c r="W40" s="262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5"/>
      <c r="W41" s="262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5">
        <f t="shared" si="8"/>
        <v>0</v>
      </c>
      <c r="V42" s="131"/>
      <c r="W42" s="262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5"/>
      <c r="V43" s="131"/>
      <c r="W43" s="262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5"/>
      <c r="V44" s="131"/>
      <c r="W44" s="262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5"/>
      <c r="V45" s="131"/>
      <c r="W45" s="262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5"/>
      <c r="V46" s="131"/>
      <c r="W46" s="262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5"/>
      <c r="V47" s="131"/>
      <c r="W47" s="262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5"/>
      <c r="V48" s="131"/>
      <c r="W48" s="262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5"/>
      <c r="V49" s="131"/>
      <c r="W49" s="262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5"/>
      <c r="V50" s="131"/>
      <c r="W50" s="262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5"/>
      <c r="V51" s="131"/>
      <c r="W51" s="262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5"/>
      <c r="V52" s="131"/>
      <c r="W52" s="262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5"/>
      <c r="V53" s="131"/>
      <c r="W53" s="262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5"/>
      <c r="V54" s="131"/>
      <c r="W54" s="262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5"/>
      <c r="V55" s="131"/>
      <c r="W55" s="262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5"/>
      <c r="V56" s="131"/>
      <c r="W56" s="262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5"/>
      <c r="V57" s="131"/>
      <c r="W57" s="262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5"/>
      <c r="V58" s="131"/>
      <c r="W58" s="262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5"/>
      <c r="V59" s="131"/>
      <c r="W59" s="262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5"/>
      <c r="V60" s="131"/>
      <c r="W60" s="262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5"/>
      <c r="V61" s="131"/>
      <c r="W61" s="262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5"/>
      <c r="V62" s="131"/>
      <c r="W62" s="262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5"/>
      <c r="V63" s="131"/>
      <c r="W63" s="262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5"/>
      <c r="V64" s="131"/>
      <c r="W64" s="262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5">
        <f>O65-T65</f>
        <v>5.37</v>
      </c>
      <c r="V65" s="131"/>
      <c r="W65" s="262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5"/>
      <c r="V66" s="131"/>
      <c r="W66" s="262"/>
    </row>
    <row r="67" spans="1:23" s="6" customFormat="1" ht="18">
      <c r="A67" s="9"/>
      <c r="B67" s="14" t="s">
        <v>172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5">
        <f>O67-T67</f>
        <v>14341.229999999981</v>
      </c>
      <c r="V67" s="131">
        <v>293087.8</v>
      </c>
      <c r="W67" s="263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6"/>
      <c r="U68" s="249"/>
      <c r="V68" s="261"/>
      <c r="W68" s="261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6"/>
      <c r="U69" s="249"/>
      <c r="V69" s="261"/>
      <c r="W69" s="261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6"/>
      <c r="U70" s="249"/>
      <c r="V70" s="261"/>
      <c r="W70" s="261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8" ref="G76:G87">F76-E76</f>
        <v>0.11</v>
      </c>
      <c r="H76" s="162"/>
      <c r="I76" s="165">
        <f aca="true" t="shared" si="19" ref="I76:I87">F76-D76</f>
        <v>-104205.92</v>
      </c>
      <c r="J76" s="165">
        <f>F76/D76*100</f>
        <v>0.00010556011010111412</v>
      </c>
      <c r="K76" s="165">
        <v>0.15</v>
      </c>
      <c r="L76" s="165">
        <f aca="true" t="shared" si="20" ref="L76:L87">F76-K76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aca="true" t="shared" si="21" ref="P76:P89">O76-N76</f>
        <v>0.039999999999999994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8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8"/>
        <v>35.57</v>
      </c>
      <c r="H87" s="162"/>
      <c r="I87" s="165">
        <f t="shared" si="19"/>
        <v>35.57</v>
      </c>
      <c r="J87" s="165"/>
      <c r="K87" s="165">
        <v>0</v>
      </c>
      <c r="L87" s="165">
        <f t="shared" si="20"/>
        <v>35.57</v>
      </c>
      <c r="M87" s="165"/>
      <c r="N87" s="162">
        <f>E87-лютий!E84</f>
        <v>0</v>
      </c>
      <c r="O87" s="166">
        <f>F87-лютий!F84</f>
        <v>8.91</v>
      </c>
      <c r="P87" s="165">
        <f t="shared" si="21"/>
        <v>8.91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3654.0099999999998</v>
      </c>
      <c r="G88" s="190">
        <f>F88-E88</f>
        <v>-8198.69</v>
      </c>
      <c r="H88" s="191">
        <f>F88/E88*100</f>
        <v>30.82850321023901</v>
      </c>
      <c r="I88" s="192">
        <f>F88-D88</f>
        <v>-242002.02</v>
      </c>
      <c r="J88" s="192">
        <f>F88/D88*100</f>
        <v>1.4874497483330655</v>
      </c>
      <c r="K88" s="192">
        <v>10307.64</v>
      </c>
      <c r="L88" s="192">
        <f>F88-K88</f>
        <v>-6653.629999999999</v>
      </c>
      <c r="M88" s="219">
        <f t="shared" si="22"/>
        <v>0.35449530639409216</v>
      </c>
      <c r="N88" s="189">
        <f>N74+N86+N80+N85+N87</f>
        <v>7465.8</v>
      </c>
      <c r="O88" s="189">
        <f>O74+O86+O80+O85+O87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170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5"/>
      <c r="H92" s="305"/>
      <c r="I92" s="305"/>
      <c r="J92" s="305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294"/>
      <c r="P93" s="294"/>
    </row>
    <row r="94" spans="3:16" ht="15">
      <c r="C94" s="80">
        <v>42824</v>
      </c>
      <c r="D94" s="28">
        <v>11112.7</v>
      </c>
      <c r="F94" s="112" t="s">
        <v>58</v>
      </c>
      <c r="G94" s="288"/>
      <c r="H94" s="288"/>
      <c r="I94" s="117"/>
      <c r="J94" s="291"/>
      <c r="K94" s="291"/>
      <c r="L94" s="291"/>
      <c r="M94" s="291"/>
      <c r="N94" s="291"/>
      <c r="O94" s="294"/>
      <c r="P94" s="294"/>
    </row>
    <row r="95" spans="3:16" ht="15.75" customHeight="1">
      <c r="C95" s="80">
        <v>42823</v>
      </c>
      <c r="D95" s="28">
        <v>8830.3</v>
      </c>
      <c r="F95" s="67"/>
      <c r="G95" s="288"/>
      <c r="H95" s="288"/>
      <c r="I95" s="117"/>
      <c r="J95" s="295"/>
      <c r="K95" s="295"/>
      <c r="L95" s="295"/>
      <c r="M95" s="295"/>
      <c r="N95" s="295"/>
      <c r="O95" s="294"/>
      <c r="P95" s="294"/>
    </row>
    <row r="96" spans="3:14" ht="15.75" customHeight="1">
      <c r="C96" s="80"/>
      <c r="F96" s="67"/>
      <c r="G96" s="290"/>
      <c r="H96" s="290"/>
      <c r="I96" s="123"/>
      <c r="J96" s="291"/>
      <c r="K96" s="291"/>
      <c r="L96" s="291"/>
      <c r="M96" s="291"/>
      <c r="N96" s="291"/>
    </row>
    <row r="97" spans="2:14" ht="18" customHeight="1">
      <c r="B97" s="292" t="s">
        <v>56</v>
      </c>
      <c r="C97" s="293"/>
      <c r="D97" s="132">
        <v>1399.2856000000002</v>
      </c>
      <c r="E97" s="68"/>
      <c r="F97" s="124" t="s">
        <v>105</v>
      </c>
      <c r="G97" s="288"/>
      <c r="H97" s="288"/>
      <c r="I97" s="125"/>
      <c r="J97" s="291"/>
      <c r="K97" s="291"/>
      <c r="L97" s="291"/>
      <c r="M97" s="291"/>
      <c r="N97" s="291"/>
    </row>
    <row r="98" spans="6:13" ht="9.75" customHeight="1">
      <c r="F98" s="67"/>
      <c r="G98" s="288"/>
      <c r="H98" s="288"/>
      <c r="I98" s="67"/>
      <c r="J98" s="68"/>
      <c r="K98" s="68"/>
      <c r="L98" s="68"/>
      <c r="M98" s="68"/>
    </row>
    <row r="99" spans="2:13" ht="22.5" customHeight="1" hidden="1">
      <c r="B99" s="286" t="s">
        <v>59</v>
      </c>
      <c r="C99" s="287"/>
      <c r="D99" s="79">
        <v>0</v>
      </c>
      <c r="E99" s="50" t="s">
        <v>24</v>
      </c>
      <c r="F99" s="67"/>
      <c r="G99" s="288"/>
      <c r="H99" s="288"/>
      <c r="I99" s="67"/>
      <c r="J99" s="68"/>
      <c r="K99" s="68"/>
      <c r="L99" s="68"/>
      <c r="M99" s="68"/>
    </row>
    <row r="100" spans="2:16" ht="15" hidden="1">
      <c r="B100" s="282" t="s">
        <v>183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4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89"/>
      <c r="P101" s="289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19583.200000000026</v>
      </c>
    </row>
    <row r="108" spans="2:5" ht="15" hidden="1">
      <c r="B108" s="242" t="s">
        <v>154</v>
      </c>
      <c r="E108" s="28">
        <f>E88-E83-E76-E77</f>
        <v>4666.4000000000015</v>
      </c>
    </row>
    <row r="109" ht="15" hidden="1"/>
    <row r="110" spans="2:23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7">
        <f>F111/K111</f>
        <v>7.864918565596555</v>
      </c>
      <c r="N111" s="270"/>
      <c r="O111" s="270"/>
      <c r="P111" s="271"/>
      <c r="Q111" s="271"/>
      <c r="R111" s="269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169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7">
        <f>F112/K112</f>
        <v>1.4171022100582904</v>
      </c>
      <c r="N112" s="272"/>
      <c r="O112" s="272"/>
      <c r="P112" s="271"/>
      <c r="Q112" s="271"/>
      <c r="R112" s="269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171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142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165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166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168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167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887467.26</v>
      </c>
      <c r="F124" s="275">
        <f>F112+F113</f>
        <v>877166.4099999999</v>
      </c>
      <c r="G124" s="276">
        <f t="shared" si="27"/>
        <v>-10300.850000000093</v>
      </c>
      <c r="H124" s="275">
        <f t="shared" si="29"/>
        <v>98.83929802661113</v>
      </c>
      <c r="I124" s="277">
        <f t="shared" si="28"/>
        <v>-2021257.6300000001</v>
      </c>
      <c r="J124" s="277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61" sqref="D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2" t="s">
        <v>139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5"/>
      <c r="S1" s="86"/>
    </row>
    <row r="2" spans="2:19" s="1" customFormat="1" ht="15.75" customHeight="1">
      <c r="B2" s="313"/>
      <c r="C2" s="313"/>
      <c r="D2" s="313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4"/>
      <c r="B3" s="316"/>
      <c r="C3" s="317" t="s">
        <v>0</v>
      </c>
      <c r="D3" s="318" t="s">
        <v>138</v>
      </c>
      <c r="E3" s="31"/>
      <c r="F3" s="319" t="s">
        <v>26</v>
      </c>
      <c r="G3" s="320"/>
      <c r="H3" s="320"/>
      <c r="I3" s="320"/>
      <c r="J3" s="321"/>
      <c r="K3" s="82"/>
      <c r="L3" s="82"/>
      <c r="M3" s="82"/>
      <c r="N3" s="322" t="s">
        <v>132</v>
      </c>
      <c r="O3" s="323" t="s">
        <v>136</v>
      </c>
      <c r="P3" s="323"/>
      <c r="Q3" s="323"/>
      <c r="R3" s="323"/>
      <c r="S3" s="323"/>
    </row>
    <row r="4" spans="1:19" ht="22.5" customHeight="1">
      <c r="A4" s="314"/>
      <c r="B4" s="316"/>
      <c r="C4" s="317"/>
      <c r="D4" s="318"/>
      <c r="E4" s="324" t="s">
        <v>137</v>
      </c>
      <c r="F4" s="306" t="s">
        <v>33</v>
      </c>
      <c r="G4" s="296" t="s">
        <v>133</v>
      </c>
      <c r="H4" s="308" t="s">
        <v>134</v>
      </c>
      <c r="I4" s="296" t="s">
        <v>125</v>
      </c>
      <c r="J4" s="308" t="s">
        <v>126</v>
      </c>
      <c r="K4" s="84" t="s">
        <v>128</v>
      </c>
      <c r="L4" s="202" t="s">
        <v>111</v>
      </c>
      <c r="M4" s="89" t="s">
        <v>63</v>
      </c>
      <c r="N4" s="308"/>
      <c r="O4" s="310" t="s">
        <v>140</v>
      </c>
      <c r="P4" s="296" t="s">
        <v>49</v>
      </c>
      <c r="Q4" s="298" t="s">
        <v>48</v>
      </c>
      <c r="R4" s="90" t="s">
        <v>64</v>
      </c>
      <c r="S4" s="91" t="s">
        <v>63</v>
      </c>
    </row>
    <row r="5" spans="1:19" ht="67.5" customHeight="1">
      <c r="A5" s="315"/>
      <c r="B5" s="316"/>
      <c r="C5" s="317"/>
      <c r="D5" s="318"/>
      <c r="E5" s="325"/>
      <c r="F5" s="307"/>
      <c r="G5" s="297"/>
      <c r="H5" s="309"/>
      <c r="I5" s="297"/>
      <c r="J5" s="309"/>
      <c r="K5" s="299" t="s">
        <v>135</v>
      </c>
      <c r="L5" s="300"/>
      <c r="M5" s="301"/>
      <c r="N5" s="309"/>
      <c r="O5" s="311"/>
      <c r="P5" s="297"/>
      <c r="Q5" s="298"/>
      <c r="R5" s="299" t="s">
        <v>102</v>
      </c>
      <c r="S5" s="301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5"/>
      <c r="H89" s="305"/>
      <c r="I89" s="305"/>
      <c r="J89" s="305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94"/>
      <c r="P90" s="294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88"/>
      <c r="H91" s="288"/>
      <c r="I91" s="117"/>
      <c r="J91" s="291"/>
      <c r="K91" s="291"/>
      <c r="L91" s="291"/>
      <c r="M91" s="291"/>
      <c r="N91" s="291"/>
      <c r="O91" s="294"/>
      <c r="P91" s="294"/>
    </row>
    <row r="92" spans="3:16" ht="15.75" customHeight="1">
      <c r="C92" s="80">
        <v>42790</v>
      </c>
      <c r="D92" s="28">
        <v>4206.9</v>
      </c>
      <c r="F92" s="67"/>
      <c r="G92" s="288"/>
      <c r="H92" s="288"/>
      <c r="I92" s="117"/>
      <c r="J92" s="295"/>
      <c r="K92" s="295"/>
      <c r="L92" s="295"/>
      <c r="M92" s="295"/>
      <c r="N92" s="295"/>
      <c r="O92" s="294"/>
      <c r="P92" s="294"/>
    </row>
    <row r="93" spans="3:14" ht="15.75" customHeight="1">
      <c r="C93" s="80"/>
      <c r="F93" s="67"/>
      <c r="G93" s="290"/>
      <c r="H93" s="290"/>
      <c r="I93" s="123"/>
      <c r="J93" s="291"/>
      <c r="K93" s="291"/>
      <c r="L93" s="291"/>
      <c r="M93" s="291"/>
      <c r="N93" s="291"/>
    </row>
    <row r="94" spans="2:14" ht="18.75" customHeight="1">
      <c r="B94" s="292" t="s">
        <v>56</v>
      </c>
      <c r="C94" s="293"/>
      <c r="D94" s="132">
        <v>7713.34596</v>
      </c>
      <c r="E94" s="68"/>
      <c r="F94" s="124" t="s">
        <v>105</v>
      </c>
      <c r="G94" s="288"/>
      <c r="H94" s="288"/>
      <c r="I94" s="125"/>
      <c r="J94" s="291"/>
      <c r="K94" s="291"/>
      <c r="L94" s="291"/>
      <c r="M94" s="291"/>
      <c r="N94" s="291"/>
    </row>
    <row r="95" spans="6:13" ht="9.75" customHeight="1">
      <c r="F95" s="67"/>
      <c r="G95" s="288"/>
      <c r="H95" s="288"/>
      <c r="I95" s="67"/>
      <c r="J95" s="68"/>
      <c r="K95" s="68"/>
      <c r="L95" s="68"/>
      <c r="M95" s="68"/>
    </row>
    <row r="96" spans="2:13" ht="22.5" customHeight="1" hidden="1">
      <c r="B96" s="286" t="s">
        <v>59</v>
      </c>
      <c r="C96" s="287"/>
      <c r="D96" s="79">
        <v>0</v>
      </c>
      <c r="E96" s="50" t="s">
        <v>24</v>
      </c>
      <c r="F96" s="67"/>
      <c r="G96" s="288"/>
      <c r="H96" s="288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89"/>
      <c r="P98" s="289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2" t="s">
        <v>131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5"/>
      <c r="S1" s="86"/>
    </row>
    <row r="2" spans="2:19" s="1" customFormat="1" ht="15.75" customHeight="1">
      <c r="B2" s="313"/>
      <c r="C2" s="313"/>
      <c r="D2" s="313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4"/>
      <c r="B3" s="316"/>
      <c r="C3" s="317" t="s">
        <v>0</v>
      </c>
      <c r="D3" s="318" t="s">
        <v>121</v>
      </c>
      <c r="E3" s="31"/>
      <c r="F3" s="319" t="s">
        <v>26</v>
      </c>
      <c r="G3" s="320"/>
      <c r="H3" s="320"/>
      <c r="I3" s="320"/>
      <c r="J3" s="321"/>
      <c r="K3" s="82"/>
      <c r="L3" s="82"/>
      <c r="M3" s="82"/>
      <c r="N3" s="322" t="s">
        <v>119</v>
      </c>
      <c r="O3" s="323" t="s">
        <v>115</v>
      </c>
      <c r="P3" s="323"/>
      <c r="Q3" s="323"/>
      <c r="R3" s="323"/>
      <c r="S3" s="323"/>
    </row>
    <row r="4" spans="1:19" ht="22.5" customHeight="1">
      <c r="A4" s="314"/>
      <c r="B4" s="316"/>
      <c r="C4" s="317"/>
      <c r="D4" s="318"/>
      <c r="E4" s="324" t="s">
        <v>122</v>
      </c>
      <c r="F4" s="306" t="s">
        <v>33</v>
      </c>
      <c r="G4" s="296" t="s">
        <v>123</v>
      </c>
      <c r="H4" s="308" t="s">
        <v>124</v>
      </c>
      <c r="I4" s="296" t="s">
        <v>125</v>
      </c>
      <c r="J4" s="308" t="s">
        <v>126</v>
      </c>
      <c r="K4" s="84" t="s">
        <v>128</v>
      </c>
      <c r="L4" s="202" t="s">
        <v>111</v>
      </c>
      <c r="M4" s="89" t="s">
        <v>63</v>
      </c>
      <c r="N4" s="308"/>
      <c r="O4" s="310" t="s">
        <v>120</v>
      </c>
      <c r="P4" s="296" t="s">
        <v>49</v>
      </c>
      <c r="Q4" s="298" t="s">
        <v>48</v>
      </c>
      <c r="R4" s="90" t="s">
        <v>64</v>
      </c>
      <c r="S4" s="91" t="s">
        <v>63</v>
      </c>
    </row>
    <row r="5" spans="1:19" ht="67.5" customHeight="1">
      <c r="A5" s="315"/>
      <c r="B5" s="316"/>
      <c r="C5" s="317"/>
      <c r="D5" s="318"/>
      <c r="E5" s="325"/>
      <c r="F5" s="307"/>
      <c r="G5" s="297"/>
      <c r="H5" s="309"/>
      <c r="I5" s="297"/>
      <c r="J5" s="309"/>
      <c r="K5" s="299" t="s">
        <v>129</v>
      </c>
      <c r="L5" s="300"/>
      <c r="M5" s="301"/>
      <c r="N5" s="309"/>
      <c r="O5" s="311"/>
      <c r="P5" s="297"/>
      <c r="Q5" s="298"/>
      <c r="R5" s="299" t="s">
        <v>102</v>
      </c>
      <c r="S5" s="301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5"/>
      <c r="H89" s="305"/>
      <c r="I89" s="305"/>
      <c r="J89" s="305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94"/>
      <c r="P90" s="294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88"/>
      <c r="H91" s="288"/>
      <c r="I91" s="117"/>
      <c r="J91" s="291"/>
      <c r="K91" s="291"/>
      <c r="L91" s="291"/>
      <c r="M91" s="291"/>
      <c r="N91" s="291"/>
      <c r="O91" s="294"/>
      <c r="P91" s="294"/>
    </row>
    <row r="92" spans="3:16" ht="15.75" customHeight="1">
      <c r="C92" s="80">
        <v>42762</v>
      </c>
      <c r="D92" s="28">
        <v>8862.4</v>
      </c>
      <c r="F92" s="67"/>
      <c r="G92" s="288"/>
      <c r="H92" s="288"/>
      <c r="I92" s="117"/>
      <c r="J92" s="295"/>
      <c r="K92" s="295"/>
      <c r="L92" s="295"/>
      <c r="M92" s="295"/>
      <c r="N92" s="295"/>
      <c r="O92" s="294"/>
      <c r="P92" s="294"/>
    </row>
    <row r="93" spans="3:14" ht="15.75" customHeight="1">
      <c r="C93" s="80"/>
      <c r="F93" s="67"/>
      <c r="G93" s="290"/>
      <c r="H93" s="290"/>
      <c r="I93" s="123"/>
      <c r="J93" s="291"/>
      <c r="K93" s="291"/>
      <c r="L93" s="291"/>
      <c r="M93" s="291"/>
      <c r="N93" s="291"/>
    </row>
    <row r="94" spans="2:14" ht="18.75" customHeight="1">
      <c r="B94" s="292" t="s">
        <v>56</v>
      </c>
      <c r="C94" s="293"/>
      <c r="D94" s="132">
        <f>9505303.41/1000</f>
        <v>9505.30341</v>
      </c>
      <c r="E94" s="68"/>
      <c r="F94" s="124" t="s">
        <v>105</v>
      </c>
      <c r="G94" s="288"/>
      <c r="H94" s="288"/>
      <c r="I94" s="125"/>
      <c r="J94" s="291"/>
      <c r="K94" s="291"/>
      <c r="L94" s="291"/>
      <c r="M94" s="291"/>
      <c r="N94" s="291"/>
    </row>
    <row r="95" spans="6:13" ht="9.75" customHeight="1">
      <c r="F95" s="67"/>
      <c r="G95" s="288"/>
      <c r="H95" s="288"/>
      <c r="I95" s="67"/>
      <c r="J95" s="68"/>
      <c r="K95" s="68"/>
      <c r="L95" s="68"/>
      <c r="M95" s="68"/>
    </row>
    <row r="96" spans="2:13" ht="22.5" customHeight="1" hidden="1">
      <c r="B96" s="286" t="s">
        <v>59</v>
      </c>
      <c r="C96" s="287"/>
      <c r="D96" s="79">
        <v>0</v>
      </c>
      <c r="E96" s="50" t="s">
        <v>24</v>
      </c>
      <c r="F96" s="67"/>
      <c r="G96" s="288"/>
      <c r="H96" s="288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89"/>
      <c r="P98" s="289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2017-05-12T08:33:12Z</cp:lastPrinted>
  <dcterms:created xsi:type="dcterms:W3CDTF">2003-07-28T11:27:56Z</dcterms:created>
  <dcterms:modified xsi:type="dcterms:W3CDTF">2017-05-12T08:42:13Z</dcterms:modified>
  <cp:category/>
  <cp:version/>
  <cp:contentType/>
  <cp:contentStatus/>
</cp:coreProperties>
</file>